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filterPrivacy="1" defaultThemeVersion="124226"/>
  <xr:revisionPtr revIDLastSave="0" documentId="13_ncr:1_{431C0B8E-97D4-4BC3-A1AD-ABC2E17FA3D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ETTEN BRÜTE" sheetId="12" r:id="rId1"/>
    <sheet name="PARAMETRELER" sheetId="13" state="hidden" r:id="rId2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2" l="1"/>
  <c r="H9" i="12"/>
  <c r="H10" i="12"/>
  <c r="H11" i="12"/>
  <c r="H12" i="12"/>
  <c r="H13" i="12"/>
  <c r="H14" i="12"/>
  <c r="H15" i="12"/>
  <c r="H16" i="12"/>
  <c r="H17" i="12"/>
  <c r="H18" i="12"/>
  <c r="H7" i="12"/>
  <c r="I7" i="12" l="1" a="1"/>
  <c r="I7" i="12" s="1"/>
  <c r="B19" i="12"/>
  <c r="I8" i="12" l="1" a="1"/>
  <c r="I8" i="12" s="1"/>
  <c r="I9" i="12" s="1" a="1"/>
  <c r="I9" i="12" s="1"/>
  <c r="I10" i="12" s="1" a="1"/>
  <c r="I10" i="12" s="1"/>
  <c r="I11" i="12" l="1" a="1"/>
  <c r="I11" i="12" s="1"/>
  <c r="I12" i="12" l="1" a="1"/>
  <c r="I12" i="12" s="1"/>
  <c r="I13" i="12" s="1" a="1"/>
  <c r="I13" i="12" s="1"/>
  <c r="I14" i="12" l="1" a="1"/>
  <c r="I14" i="12" s="1"/>
  <c r="I15" i="12" l="1" a="1"/>
  <c r="I15" i="12" s="1"/>
  <c r="I16" i="12" s="1" a="1"/>
  <c r="I16" i="12" s="1"/>
  <c r="I17" i="12" s="1" a="1"/>
  <c r="I17" i="12" s="1"/>
  <c r="I18" i="12" s="1" a="1"/>
  <c r="I18" i="12" s="1"/>
  <c r="C7" i="12"/>
  <c r="D7" i="12"/>
  <c r="E7" i="12"/>
  <c r="F7" i="12"/>
  <c r="G7" i="12" a="1"/>
  <c r="G7" i="12"/>
  <c r="J7" i="12"/>
  <c r="K7" i="12"/>
  <c r="L7" i="12"/>
  <c r="M7" i="12"/>
  <c r="N7" i="12"/>
  <c r="O7" i="12"/>
  <c r="P7" i="12"/>
  <c r="Q7" i="12"/>
  <c r="C8" i="12"/>
  <c r="D8" i="12"/>
  <c r="E8" i="12"/>
  <c r="F8" i="12"/>
  <c r="G8" i="12" a="1"/>
  <c r="G8" i="12"/>
  <c r="J8" i="12"/>
  <c r="K8" i="12"/>
  <c r="L8" i="12"/>
  <c r="M8" i="12"/>
  <c r="N8" i="12"/>
  <c r="O8" i="12"/>
  <c r="P8" i="12"/>
  <c r="Q8" i="12"/>
  <c r="C9" i="12"/>
  <c r="D9" i="12"/>
  <c r="E9" i="12"/>
  <c r="F9" i="12"/>
  <c r="G9" i="12" a="1"/>
  <c r="G9" i="12"/>
  <c r="J9" i="12"/>
  <c r="K9" i="12"/>
  <c r="L9" i="12"/>
  <c r="M9" i="12"/>
  <c r="N9" i="12"/>
  <c r="O9" i="12"/>
  <c r="P9" i="12"/>
  <c r="Q9" i="12"/>
  <c r="C10" i="12"/>
  <c r="D10" i="12"/>
  <c r="E10" i="12"/>
  <c r="F10" i="12"/>
  <c r="G10" i="12" a="1"/>
  <c r="G10" i="12"/>
  <c r="J10" i="12"/>
  <c r="K10" i="12"/>
  <c r="L10" i="12"/>
  <c r="M10" i="12"/>
  <c r="N10" i="12"/>
  <c r="O10" i="12"/>
  <c r="P10" i="12"/>
  <c r="Q10" i="12"/>
  <c r="C11" i="12"/>
  <c r="D11" i="12"/>
  <c r="E11" i="12"/>
  <c r="F11" i="12"/>
  <c r="G11" i="12" a="1"/>
  <c r="G11" i="12"/>
  <c r="J11" i="12"/>
  <c r="K11" i="12"/>
  <c r="L11" i="12"/>
  <c r="M11" i="12"/>
  <c r="N11" i="12"/>
  <c r="O11" i="12"/>
  <c r="P11" i="12"/>
  <c r="Q11" i="12"/>
  <c r="C12" i="12"/>
  <c r="D12" i="12"/>
  <c r="E12" i="12"/>
  <c r="F12" i="12"/>
  <c r="G12" i="12" a="1"/>
  <c r="G12" i="12"/>
  <c r="J12" i="12"/>
  <c r="K12" i="12"/>
  <c r="L12" i="12"/>
  <c r="M12" i="12"/>
  <c r="N12" i="12"/>
  <c r="O12" i="12"/>
  <c r="P12" i="12"/>
  <c r="Q12" i="12"/>
  <c r="C13" i="12"/>
  <c r="D13" i="12"/>
  <c r="E13" i="12"/>
  <c r="F13" i="12"/>
  <c r="G13" i="12" a="1"/>
  <c r="G13" i="12"/>
  <c r="J13" i="12"/>
  <c r="K13" i="12"/>
  <c r="L13" i="12"/>
  <c r="M13" i="12"/>
  <c r="N13" i="12"/>
  <c r="O13" i="12"/>
  <c r="P13" i="12"/>
  <c r="Q13" i="12"/>
  <c r="C14" i="12"/>
  <c r="D14" i="12"/>
  <c r="E14" i="12"/>
  <c r="F14" i="12"/>
  <c r="G14" i="12" a="1"/>
  <c r="G14" i="12"/>
  <c r="J14" i="12"/>
  <c r="K14" i="12"/>
  <c r="L14" i="12"/>
  <c r="M14" i="12"/>
  <c r="N14" i="12"/>
  <c r="O14" i="12"/>
  <c r="P14" i="12"/>
  <c r="Q14" i="12"/>
  <c r="C15" i="12"/>
  <c r="D15" i="12"/>
  <c r="E15" i="12"/>
  <c r="F15" i="12"/>
  <c r="G15" i="12" a="1"/>
  <c r="G15" i="12"/>
  <c r="J15" i="12"/>
  <c r="K15" i="12"/>
  <c r="L15" i="12"/>
  <c r="M15" i="12"/>
  <c r="N15" i="12"/>
  <c r="O15" i="12"/>
  <c r="P15" i="12"/>
  <c r="Q15" i="12"/>
  <c r="C16" i="12"/>
  <c r="D16" i="12"/>
  <c r="E16" i="12"/>
  <c r="F16" i="12"/>
  <c r="G16" i="12" a="1"/>
  <c r="G16" i="12"/>
  <c r="J16" i="12"/>
  <c r="K16" i="12"/>
  <c r="L16" i="12"/>
  <c r="M16" i="12"/>
  <c r="N16" i="12"/>
  <c r="O16" i="12"/>
  <c r="P16" i="12"/>
  <c r="Q16" i="12"/>
  <c r="C17" i="12"/>
  <c r="D17" i="12"/>
  <c r="E17" i="12"/>
  <c r="F17" i="12"/>
  <c r="G17" i="12" a="1"/>
  <c r="G17" i="12"/>
  <c r="J17" i="12"/>
  <c r="K17" i="12"/>
  <c r="L17" i="12"/>
  <c r="M17" i="12"/>
  <c r="N17" i="12"/>
  <c r="O17" i="12"/>
  <c r="P17" i="12"/>
  <c r="Q17" i="12"/>
  <c r="C18" i="12"/>
  <c r="D18" i="12"/>
  <c r="E18" i="12"/>
  <c r="F18" i="12"/>
  <c r="G18" i="12" a="1"/>
  <c r="G18" i="12"/>
  <c r="J18" i="12"/>
  <c r="K18" i="12"/>
  <c r="L18" i="12"/>
  <c r="M18" i="12"/>
  <c r="N18" i="12"/>
  <c r="O18" i="12"/>
  <c r="P18" i="12"/>
  <c r="Q18" i="12"/>
  <c r="C19" i="12"/>
  <c r="D19" i="12"/>
  <c r="E19" i="12"/>
  <c r="F19" i="12"/>
  <c r="G19" i="12"/>
  <c r="J19" i="12"/>
  <c r="M19" i="12"/>
  <c r="N19" i="12"/>
  <c r="O19" i="12"/>
  <c r="P19" i="12"/>
  <c r="Q19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<sst xmlns="http://schemas.openxmlformats.org/spreadsheetml/2006/main" count="49" uniqueCount="37">
  <si>
    <t>OCAK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</si>
  <si>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</si>
  <si>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</si>
  <si>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</si>
  <si>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</si>
  <si>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</si>
  <si>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</si>
  <si>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</si>
  <si>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</si>
  <si>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</si>
  <si>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</si>
  <si>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</si>
  <si>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>TOPLAM İŞVEREN MALİYETİ</t>
  </si>
  <si>
    <t>NET ÜCRET</t>
  </si>
  <si>
    <t>BRÜT ÜCRET</t>
  </si>
  <si>
    <t>SGK PRİMİ</t>
  </si>
  <si>
    <t>İŞSİZLİK PRİMİ</t>
  </si>
  <si>
    <t>GELİR VERGİSİ</t>
  </si>
  <si>
    <t>KÜMÜLATİF GELİR VERGİSİ</t>
  </si>
  <si>
    <t>DAMGA VERGİSİ MATRAHI</t>
  </si>
  <si>
    <t>DAMGA VERGİSİ</t>
  </si>
  <si>
    <t>AYLIK GELİR VERGİSİ MATRAHI</t>
  </si>
  <si>
    <t>İŞVEREN SGK PRİMİ</t>
  </si>
  <si>
    <t>İŞVEREN İŞSSİZLİK PRİMİ</t>
  </si>
  <si>
    <t>İSTİSNA DÜŞÜLDÜKTEN SONRA GELİR VERGİSİ</t>
  </si>
  <si>
    <t>TOPLAM</t>
  </si>
  <si>
    <t>AYLIK ÜCRET</t>
  </si>
  <si>
    <t>SARI İŞARETLİ ALAN HARİCİ DÜZENLEME YAPMAYINIZ</t>
  </si>
  <si>
    <t>SGK TAVAN</t>
  </si>
  <si>
    <t>BRÜT</t>
  </si>
  <si>
    <t>NET</t>
  </si>
  <si>
    <t>BRÜT ASGARİ ÜCRET</t>
  </si>
  <si>
    <t>SADECE YEŞİL KISIMLAR DOLDURULACAK.</t>
  </si>
  <si>
    <t>AYLARA GÖRE ASGARİ ÜCRET VERGİ İSTİSNALARI</t>
  </si>
  <si>
    <t>VERGİ DİLİMLERİ</t>
  </si>
  <si>
    <t>ASGARİ ÜCRET</t>
  </si>
  <si>
    <t>ASGARİ ÜCRET GELİR VERGİSİ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</si>
</sst>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TL&quot;"/>
    <numFmt numFmtId="165" formatCode="#,##0.00\ _₺"/>
    <numFmt numFmtId="166" formatCode="#,##0.000\ &quot;TL&quot;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 Narrow"/>
      <family val="2"/>
      <charset val="162"/>
    </font>
    <font>
      <b/>
      <sz val="12"/>
      <color theme="0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b/>
      <sz val="14"/>
      <color theme="0"/>
      <name val="Calibri"/>
      <family val="2"/>
      <charset val="162"/>
      <scheme val="minor"/>
    </font>
    <font>
      <sz val="8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b/>
      <sz val="10"/>
      <color theme="0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34">
    <xf numFmtId="0" fontId="0" fillId="0" borderId="0" xfId="0"/>
    <xf numFmtId="0" fontId="0" fillId="3" borderId="0" xfId="0" applyFill="1" applyAlignment="1">
      <alignment horizontal="center" vertical="center"/>
    </xf>
    <xf numFmtId="0" fontId="0" fillId="3" borderId="0" xfId="0" applyFill="1"/>
    <xf numFmtId="0" fontId="1" fillId="3" borderId="0" xfId="0" applyFont="1" applyFill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164" fontId="7" fillId="2" borderId="13" xfId="0" applyNumberFormat="1" applyFont="1" applyFill="1" applyBorder="1" applyAlignment="1">
      <alignment horizontal="center" vertical="center"/>
    </xf>
    <xf numFmtId="165" fontId="1" fillId="0" borderId="16" xfId="0" applyNumberFormat="1" applyFont="1" applyBorder="1" applyAlignment="1">
      <alignment horizontal="center" vertical="center"/>
    </xf>
    <xf numFmtId="0" fontId="5" fillId="4" borderId="0" xfId="0" applyFont="1" applyFill="1" applyAlignment="1">
      <alignment horizontal="right" vertical="center"/>
    </xf>
    <xf numFmtId="164" fontId="5" fillId="4" borderId="0" xfId="0" applyNumberFormat="1" applyFont="1" applyFill="1" applyAlignment="1">
      <alignment horizontal="right" vertical="center"/>
    </xf>
    <xf numFmtId="164" fontId="3" fillId="4" borderId="6" xfId="0" applyNumberFormat="1" applyFont="1" applyFill="1" applyBorder="1" applyAlignment="1">
      <alignment horizontal="center" vertical="center"/>
    </xf>
    <xf numFmtId="164" fontId="3" fillId="4" borderId="12" xfId="0" applyNumberFormat="1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164" fontId="3" fillId="4" borderId="11" xfId="0" applyNumberFormat="1" applyFont="1" applyFill="1" applyBorder="1" applyAlignment="1">
      <alignment horizontal="center" vertical="center"/>
    </xf>
    <xf numFmtId="0" fontId="0" fillId="5" borderId="0" xfId="0" applyFill="1"/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5" borderId="0" xfId="0" applyNumberFormat="1" applyFill="1"/>
    <xf numFmtId="0" fontId="0" fillId="2" borderId="0" xfId="0" applyFill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4" borderId="9" xfId="0" applyFont="1" applyFill="1" applyBorder="1" applyAlignment="1" applyProtection="1">
      <alignment horizontal="center" vertical="center" wrapText="1"/>
      <protection hidden="1"/>
    </xf>
    <xf numFmtId="166" fontId="3" fillId="4" borderId="10" xfId="0" applyNumberFormat="1" applyFont="1" applyFill="1" applyBorder="1" applyAlignment="1">
      <alignment horizontal="center" vertical="center"/>
    </xf>
    <xf numFmtId="166" fontId="4" fillId="5" borderId="15" xfId="0" applyNumberFormat="1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222223</xdr:colOff>
      <xdr:row>0</xdr:row>
      <xdr:rowOff>0</xdr:rowOff>
    </xdr:from>
    <xdr:to>
      <xdr:col>16</xdr:col>
      <xdr:colOff>543209</xdr:colOff>
      <xdr:row>5</xdr:row>
      <xdr:rowOff>93190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A2500549-CA58-4EFC-BAAE-1152E286E6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78550" y="0"/>
          <a:ext cx="3316860" cy="1168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F622B-5344-4E07-AC34-534C17D037A4}">
  <dimension ref="A4:Q19"/>
  <sheetViews>
    <sheetView tabSelected="1" zoomScale="70" zoomScaleNormal="70" workbookViewId="0">
      <selection activeCell="G12" sqref="G12"/>
    </sheetView>
  </sheetViews>
  <sheetFormatPr defaultColWidth="9" defaultRowHeight="14.4" x14ac:dyDescent="0.3"/>
  <cols>
    <col min="1" max="2" width="15.77734375" style="1" customWidth="1"/>
    <col min="3" max="3" width="19.21875" style="2" customWidth="1"/>
    <col min="4" max="4" width="15.109375" style="2" customWidth="1"/>
    <col min="5" max="5" width="15.6640625" style="2" customWidth="1"/>
    <col min="6" max="6" width="13.77734375" style="2" bestFit="1" customWidth="1"/>
    <col min="7" max="7" width="12.5546875" style="2" customWidth="1"/>
    <col min="8" max="8" width="12.5546875" style="2" hidden="1" customWidth="1"/>
    <col min="9" max="9" width="13.21875" style="2" hidden="1" customWidth="1"/>
    <col min="10" max="10" width="12.5546875" style="2" customWidth="1"/>
    <col min="11" max="11" width="13.77734375" style="2" customWidth="1"/>
    <col min="12" max="12" width="15.6640625" style="2" customWidth="1"/>
    <col min="13" max="13" width="13.77734375" style="2" customWidth="1"/>
    <col min="14" max="14" width="16.21875" style="2" customWidth="1"/>
    <col min="15" max="16" width="12.5546875" style="2" customWidth="1"/>
    <col min="17" max="17" width="14.5546875" style="2" customWidth="1"/>
    <col min="18" max="18" width="17.44140625" style="2" customWidth="1"/>
    <col min="19" max="16384" width="9" style="2"/>
  </cols>
  <sheetData>
    <row r="4" spans="1:17" ht="27.45" customHeight="1" x14ac:dyDescent="0.3">
      <c r="A4" s="32" t="s">
        <v>27</v>
      </c>
      <c r="B4" s="32"/>
      <c r="C4" s="32"/>
      <c r="D4" s="32"/>
      <c r="E4" s="32"/>
      <c r="F4" s="32"/>
      <c r="G4" s="32"/>
      <c r="H4" s="32"/>
      <c r="I4" s="32"/>
      <c r="J4" s="32"/>
      <c r="K4" s="32"/>
    </row>
    <row r="5" spans="1:17" ht="15" thickBot="1" x14ac:dyDescent="0.35"/>
    <row r="6" spans="1:17" s="3" customFormat="1" ht="49.95" customHeight="1" thickBot="1" x14ac:dyDescent="0.35">
      <c r="A6" s="30" t="s">
        <v>26</v>
      </c>
      <c r="B6" s="31"/>
      <c r="C6" s="15" t="s">
        <v>14</v>
      </c>
      <c r="D6" s="15" t="s">
        <v>15</v>
      </c>
      <c r="E6" s="15" t="s">
        <v>16</v>
      </c>
      <c r="F6" s="15" t="s">
        <v>21</v>
      </c>
      <c r="G6" s="15" t="s">
        <v>17</v>
      </c>
      <c r="H6" s="27" t="s">
        <v>35</v>
      </c>
      <c r="I6" s="27" t="s">
        <v>36</v>
      </c>
      <c r="J6" s="16" t="s">
        <v>24</v>
      </c>
      <c r="K6" s="15" t="s">
        <v>18</v>
      </c>
      <c r="L6" s="15" t="s">
        <v>19</v>
      </c>
      <c r="M6" s="15" t="s">
        <v>20</v>
      </c>
      <c r="N6" s="17" t="s">
        <v>13</v>
      </c>
      <c r="O6" s="17" t="s">
        <v>22</v>
      </c>
      <c r="P6" s="17" t="s">
        <v>23</v>
      </c>
      <c r="Q6" s="18" t="s">
        <v>12</v>
      </c>
    </row>
    <row r="7" spans="1:17" ht="22.05" customHeight="1" thickBot="1" x14ac:dyDescent="0.35">
      <c r="A7" s="4" t="s">
        <v>0</v>
      </c>
      <c r="B7" s="29">
        <v>17002.125</v>
      </c>
      <c r="C7" s="10">
        <f t="shared" ref="C7:C18" ca="1" si="0">ROUND((D7+B7+E7+M7+G7-I7),2)</f>
        <v>20002.5</v>
      </c>
      <c r="D7" s="5">
        <f ca="1">IF($C7&lt;PARAMETRELER!$D$2,$C7*0.14,PARAMETRELER!$D$2*0.14)</f>
        <v>2800.3500000000004</v>
      </c>
      <c r="E7" s="5">
        <f ca="1">IF(C7&lt;PARAMETRELER!$D$2,C7*0.01,PARAMETRELER!$D$2*0.01)</f>
        <v>200.02500000000001</v>
      </c>
      <c r="F7" s="5">
        <f t="shared" ref="F7:F18" ca="1" si="1">C7-D7-E7</f>
        <v>17002.125</v>
      </c>
      <c r="G7" s="5" cm="1">
        <f t="array" aca="1" ref="G7" ca="1">SUMPRODUCT(--(SUM($F$7:F7)&gt;PARAMETRELER!$D$19:$D$22), (SUM($F$7:F7)-PARAMETRELER!$D$19:$D$22), {0.15;0.05;0.07;0.08})-SUM($G$6:G6)</f>
        <v>2550.3187499999999</v>
      </c>
      <c r="H7" s="26">
        <f>IF(B7=0,0,PARAMETRELER!$E$4)</f>
        <v>17002.125</v>
      </c>
      <c r="I7" s="26" cm="1">
        <f t="array" ref="I7">SUMPRODUCT(--(SUM(H$7:$H7)&gt;PARAMETRELER!$D$19:$D$22), (SUM(H$7:$H7)-PARAMETRELER!$D$19:$D$22), {0.15;0.05;0.07;0.08})-SUM(I$6:$I6)</f>
        <v>2550.3187499999999</v>
      </c>
      <c r="J7" s="5">
        <f ca="1">IF(G7-I7&lt;0,0,G7-I7)</f>
        <v>0</v>
      </c>
      <c r="K7" s="5">
        <f ca="1">F7</f>
        <v>17002.125</v>
      </c>
      <c r="L7" s="5">
        <f ca="1">IF(C7-PARAMETRELER!$D$4&lt;0,0,C7-PARAMETRELER!$D$4)</f>
        <v>0</v>
      </c>
      <c r="M7" s="6">
        <f ca="1">L7*0.00759</f>
        <v>0</v>
      </c>
      <c r="N7" s="28">
        <f t="shared" ref="N7:N18" ca="1" si="2">C7-D7-E7-J7-M7</f>
        <v>17002.125</v>
      </c>
      <c r="O7" s="7">
        <f ca="1">IF($C7&lt;PARAMETRELER!$D$2,$C7*0.205,PARAMETRELER!$D$2*0.205)</f>
        <v>4100.5124999999998</v>
      </c>
      <c r="P7" s="9">
        <f ca="1">IF($C7&lt;PARAMETRELER!$D$2,$C7*0.02,PARAMETRELER!$D$2*0.02)</f>
        <v>400.05</v>
      </c>
      <c r="Q7" s="19">
        <f t="shared" ref="Q7:Q18" ca="1" si="3">C7+O7+P7</f>
        <v>24503.0625</v>
      </c>
    </row>
    <row r="8" spans="1:17" ht="22.05" customHeight="1" thickBot="1" x14ac:dyDescent="0.35">
      <c r="A8" s="4" t="s">
        <v>1</v>
      </c>
      <c r="B8" s="29">
        <v>17002.125</v>
      </c>
      <c r="C8" s="10">
        <f t="shared" ca="1" si="0"/>
        <v>20002.5</v>
      </c>
      <c r="D8" s="5">
        <f ca="1">IF($C8&lt;PARAMETRELER!$D$2,$C8*0.14,PARAMETRELER!$D$2*0.14)</f>
        <v>2800.3500000000004</v>
      </c>
      <c r="E8" s="5">
        <f ca="1">IF(C8&lt;PARAMETRELER!$D$2,C8*0.01,PARAMETRELER!$D$2*0.01)</f>
        <v>200.02500000000001</v>
      </c>
      <c r="F8" s="5">
        <f t="shared" ca="1" si="1"/>
        <v>17002.125</v>
      </c>
      <c r="G8" s="5" cm="1">
        <f t="array" aca="1" ref="G8" ca="1">SUMPRODUCT(--(SUM($F$7:F8)&gt;PARAMETRELER!$D$19:$D$22), (SUM($F$7:F8)-PARAMETRELER!$D$19:$D$22), {0.15;0.05;0.07;0.08})-SUM($G$6:G7)</f>
        <v>2550.3187499999999</v>
      </c>
      <c r="H8" s="26">
        <f>IF(B8=0,0,PARAMETRELER!$E$4)</f>
        <v>17002.125</v>
      </c>
      <c r="I8" s="26" cm="1">
        <f t="array" ref="I8">SUMPRODUCT(--(SUM(H$7:$H8)&gt;PARAMETRELER!$D$19:$D$22), (SUM(H$7:$H8)-PARAMETRELER!$D$19:$D$22), {0.15;0.05;0.07;0.08})-SUM(I$6:$I7)</f>
        <v>2550.3187499999999</v>
      </c>
      <c r="J8" s="5">
        <f t="shared" ref="J8:J18" ca="1" si="4">IF(G8-I8&lt;0,0,G8-I8)</f>
        <v>0</v>
      </c>
      <c r="K8" s="5">
        <f ca="1">F8+K7</f>
        <v>34004.25</v>
      </c>
      <c r="L8" s="5">
        <f ca="1">IF(C8-PARAMETRELER!$D$4&lt;0,0,C8-PARAMETRELER!$D$4)</f>
        <v>0</v>
      </c>
      <c r="M8" s="6">
        <f t="shared" ref="M8:M18" ca="1" si="5">L8*0.00759</f>
        <v>0</v>
      </c>
      <c r="N8" s="28">
        <f t="shared" ca="1" si="2"/>
        <v>17002.125</v>
      </c>
      <c r="O8" s="7">
        <f ca="1">IF($C8&lt;PARAMETRELER!$D$2,$C8*0.205,PARAMETRELER!$D$2*0.205)</f>
        <v>4100.5124999999998</v>
      </c>
      <c r="P8" s="9">
        <f ca="1">IF($C8&lt;PARAMETRELER!$D$2,$C8*0.02,PARAMETRELER!$D$2*0.02)</f>
        <v>400.05</v>
      </c>
      <c r="Q8" s="19">
        <f t="shared" ca="1" si="3"/>
        <v>24503.0625</v>
      </c>
    </row>
    <row r="9" spans="1:17" ht="22.05" customHeight="1" thickBot="1" x14ac:dyDescent="0.35">
      <c r="A9" s="4" t="s">
        <v>2</v>
      </c>
      <c r="B9" s="29">
        <v>17002.125</v>
      </c>
      <c r="C9" s="10">
        <f t="shared" ca="1" si="0"/>
        <v>20002.5</v>
      </c>
      <c r="D9" s="5">
        <f ca="1">IF($C9&lt;PARAMETRELER!$D$2,$C9*0.14,PARAMETRELER!$D$2*0.14)</f>
        <v>2800.3500000000004</v>
      </c>
      <c r="E9" s="5">
        <f ca="1">IF(C9&lt;PARAMETRELER!$D$2,C9*0.01,PARAMETRELER!$D$2*0.01)</f>
        <v>200.02500000000001</v>
      </c>
      <c r="F9" s="5">
        <f t="shared" ca="1" si="1"/>
        <v>17002.125</v>
      </c>
      <c r="G9" s="5" cm="1">
        <f t="array" aca="1" ref="G9" ca="1">SUMPRODUCT(--(SUM($F$7:F9)&gt;PARAMETRELER!$D$19:$D$22), (SUM($F$7:F9)-PARAMETRELER!$D$19:$D$22), {0.15;0.05;0.07;0.08})-SUM($G$6:G8)</f>
        <v>2550.3187499999995</v>
      </c>
      <c r="H9" s="26">
        <f>IF(B9=0,0,PARAMETRELER!$E$4)</f>
        <v>17002.125</v>
      </c>
      <c r="I9" s="26" cm="1">
        <f t="array" ref="I9">SUMPRODUCT(--(SUM(H$7:$H9)&gt;PARAMETRELER!$D$19:$D$22), (SUM(H$7:$H9)-PARAMETRELER!$D$19:$D$22), {0.15;0.05;0.07;0.08})-SUM(I$6:$I8)</f>
        <v>2550.3187499999995</v>
      </c>
      <c r="J9" s="5">
        <f t="shared" ca="1" si="4"/>
        <v>0</v>
      </c>
      <c r="K9" s="5">
        <f t="shared" ref="K9:K18" ca="1" si="6">F9+K8</f>
        <v>51006.375</v>
      </c>
      <c r="L9" s="5">
        <f ca="1">IF(C9-PARAMETRELER!$D$4&lt;0,0,C9-PARAMETRELER!$D$4)</f>
        <v>0</v>
      </c>
      <c r="M9" s="6">
        <f t="shared" ca="1" si="5"/>
        <v>0</v>
      </c>
      <c r="N9" s="28">
        <f t="shared" ca="1" si="2"/>
        <v>17002.125</v>
      </c>
      <c r="O9" s="7">
        <f ca="1">IF($C9&lt;PARAMETRELER!$D$2,$C9*0.205,PARAMETRELER!$D$2*0.205)</f>
        <v>4100.5124999999998</v>
      </c>
      <c r="P9" s="9">
        <f ca="1">IF($C9&lt;PARAMETRELER!$D$2,$C9*0.02,PARAMETRELER!$D$2*0.02)</f>
        <v>400.05</v>
      </c>
      <c r="Q9" s="19">
        <f t="shared" ca="1" si="3"/>
        <v>24503.0625</v>
      </c>
    </row>
    <row r="10" spans="1:17" ht="22.05" customHeight="1" thickBot="1" x14ac:dyDescent="0.35">
      <c r="A10" s="4" t="s">
        <v>3</v>
      </c>
      <c r="B10" s="29">
        <v>17002.125</v>
      </c>
      <c r="C10" s="10">
        <f t="shared" ca="1" si="0"/>
        <v>20002.5</v>
      </c>
      <c r="D10" s="5">
        <f ca="1">IF($C10&lt;PARAMETRELER!$D$2,$C10*0.14,PARAMETRELER!$D$2*0.14)</f>
        <v>2800.3500000000004</v>
      </c>
      <c r="E10" s="5">
        <f ca="1">IF(C10&lt;PARAMETRELER!$D$2,C10*0.01,PARAMETRELER!$D$2*0.01)</f>
        <v>200.02500000000001</v>
      </c>
      <c r="F10" s="5">
        <f t="shared" ca="1" si="1"/>
        <v>17002.125</v>
      </c>
      <c r="G10" s="5" cm="1">
        <f t="array" aca="1" ref="G10" ca="1">SUMPRODUCT(--(SUM($F$7:F10)&gt;PARAMETRELER!$D$19:$D$22), (SUM($F$7:F10)-PARAMETRELER!$D$19:$D$22), {0.15;0.05;0.07;0.08})-SUM($G$6:G9)</f>
        <v>2550.3187500000004</v>
      </c>
      <c r="H10" s="26">
        <f>IF(B10=0,0,PARAMETRELER!$E$4)</f>
        <v>17002.125</v>
      </c>
      <c r="I10" s="26" cm="1">
        <f t="array" ref="I10">SUMPRODUCT(--(SUM(H$7:$H10)&gt;PARAMETRELER!$D$19:$D$22), (SUM(H$7:$H10)-PARAMETRELER!$D$19:$D$22), {0.15;0.05;0.07;0.08})-SUM(I$6:$I9)</f>
        <v>2550.3187500000004</v>
      </c>
      <c r="J10" s="5">
        <f t="shared" ca="1" si="4"/>
        <v>0</v>
      </c>
      <c r="K10" s="5">
        <f t="shared" ca="1" si="6"/>
        <v>68008.5</v>
      </c>
      <c r="L10" s="5">
        <f ca="1">IF(C10-PARAMETRELER!$D$4&lt;0,0,C10-PARAMETRELER!$D$4)</f>
        <v>0</v>
      </c>
      <c r="M10" s="6">
        <f t="shared" ca="1" si="5"/>
        <v>0</v>
      </c>
      <c r="N10" s="28">
        <f t="shared" ca="1" si="2"/>
        <v>17002.125</v>
      </c>
      <c r="O10" s="7">
        <f ca="1">IF($C10&lt;PARAMETRELER!$D$2,$C10*0.205,PARAMETRELER!$D$2*0.205)</f>
        <v>4100.5124999999998</v>
      </c>
      <c r="P10" s="9">
        <f ca="1">IF($C10&lt;PARAMETRELER!$D$2,$C10*0.02,PARAMETRELER!$D$2*0.02)</f>
        <v>400.05</v>
      </c>
      <c r="Q10" s="19">
        <f t="shared" ca="1" si="3"/>
        <v>24503.0625</v>
      </c>
    </row>
    <row r="11" spans="1:17" ht="22.05" customHeight="1" thickBot="1" x14ac:dyDescent="0.35">
      <c r="A11" s="4" t="s">
        <v>4</v>
      </c>
      <c r="B11" s="29">
        <v>17002.125</v>
      </c>
      <c r="C11" s="10">
        <f t="shared" ca="1" si="0"/>
        <v>20002.5</v>
      </c>
      <c r="D11" s="5">
        <f ca="1">IF($C11&lt;PARAMETRELER!$D$2,$C11*0.14,PARAMETRELER!$D$2*0.14)</f>
        <v>2800.3500000000004</v>
      </c>
      <c r="E11" s="5">
        <f ca="1">IF(C11&lt;PARAMETRELER!$D$2,C11*0.01,PARAMETRELER!$D$2*0.01)</f>
        <v>200.02500000000001</v>
      </c>
      <c r="F11" s="5">
        <f t="shared" ca="1" si="1"/>
        <v>17002.125</v>
      </c>
      <c r="G11" s="5" cm="1">
        <f t="array" aca="1" ref="G11" ca="1">SUMPRODUCT(--(SUM($F$7:F11)&gt;PARAMETRELER!$D$19:$D$22), (SUM($F$7:F11)-PARAMETRELER!$D$19:$D$22), {0.15;0.05;0.07;0.08})-SUM($G$6:G10)</f>
        <v>2550.3187500000004</v>
      </c>
      <c r="H11" s="26">
        <f>IF(B11=0,0,PARAMETRELER!$E$4)</f>
        <v>17002.125</v>
      </c>
      <c r="I11" s="26" cm="1">
        <f t="array" ref="I11">SUMPRODUCT(--(SUM(H$7:$H11)&gt;PARAMETRELER!$D$19:$D$22), (SUM(H$7:$H11)-PARAMETRELER!$D$19:$D$22), {0.15;0.05;0.07;0.08})-SUM(I$6:$I10)</f>
        <v>2550.3187500000004</v>
      </c>
      <c r="J11" s="5">
        <f t="shared" ca="1" si="4"/>
        <v>0</v>
      </c>
      <c r="K11" s="5">
        <f t="shared" ca="1" si="6"/>
        <v>85010.625</v>
      </c>
      <c r="L11" s="5">
        <f ca="1">IF(C11-PARAMETRELER!$D$4&lt;0,0,C11-PARAMETRELER!$D$4)</f>
        <v>0</v>
      </c>
      <c r="M11" s="6">
        <f t="shared" ca="1" si="5"/>
        <v>0</v>
      </c>
      <c r="N11" s="28">
        <f t="shared" ca="1" si="2"/>
        <v>17002.125</v>
      </c>
      <c r="O11" s="7">
        <f ca="1">IF($C11&lt;PARAMETRELER!$D$2,$C11*0.205,PARAMETRELER!$D$2*0.205)</f>
        <v>4100.5124999999998</v>
      </c>
      <c r="P11" s="9">
        <f ca="1">IF($C11&lt;PARAMETRELER!$D$2,$C11*0.02,PARAMETRELER!$D$2*0.02)</f>
        <v>400.05</v>
      </c>
      <c r="Q11" s="19">
        <f t="shared" ca="1" si="3"/>
        <v>24503.0625</v>
      </c>
    </row>
    <row r="12" spans="1:17" ht="22.05" customHeight="1" thickBot="1" x14ac:dyDescent="0.35">
      <c r="A12" s="4" t="s">
        <v>5</v>
      </c>
      <c r="B12" s="29">
        <v>17002.125</v>
      </c>
      <c r="C12" s="10">
        <f t="shared" ca="1" si="0"/>
        <v>20002.5</v>
      </c>
      <c r="D12" s="5">
        <f ca="1">IF($C12&lt;PARAMETRELER!$D$2,$C12*0.14,PARAMETRELER!$D$2*0.14)</f>
        <v>2800.3500000000004</v>
      </c>
      <c r="E12" s="5">
        <f ca="1">IF(C12&lt;PARAMETRELER!$D$2,C12*0.01,PARAMETRELER!$D$2*0.01)</f>
        <v>200.02500000000001</v>
      </c>
      <c r="F12" s="5">
        <f t="shared" ca="1" si="1"/>
        <v>17002.125</v>
      </c>
      <c r="G12" s="5" cm="1">
        <f t="array" aca="1" ref="G12" ca="1">SUMPRODUCT(--(SUM($F$7:F12)&gt;PARAMETRELER!$D$19:$D$22), (SUM($F$7:F12)-PARAMETRELER!$D$19:$D$22), {0.15;0.05;0.07;0.08})-SUM($G$6:G11)</f>
        <v>2550.3187499999985</v>
      </c>
      <c r="H12" s="26">
        <f>IF(B12=0,0,PARAMETRELER!$E$4)</f>
        <v>17002.125</v>
      </c>
      <c r="I12" s="26" cm="1">
        <f t="array" ref="I12">SUMPRODUCT(--(SUM(H$7:$H12)&gt;PARAMETRELER!$D$19:$D$22), (SUM(H$7:$H12)-PARAMETRELER!$D$19:$D$22), {0.15;0.05;0.07;0.08})-SUM(I$6:$I11)</f>
        <v>2550.3187499999985</v>
      </c>
      <c r="J12" s="5">
        <f t="shared" ca="1" si="4"/>
        <v>0</v>
      </c>
      <c r="K12" s="5">
        <f t="shared" ca="1" si="6"/>
        <v>102012.75</v>
      </c>
      <c r="L12" s="5">
        <f ca="1">IF(C12-PARAMETRELER!$D$4&lt;0,0,C12-PARAMETRELER!$D$4)</f>
        <v>0</v>
      </c>
      <c r="M12" s="6">
        <f t="shared" ca="1" si="5"/>
        <v>0</v>
      </c>
      <c r="N12" s="28">
        <f t="shared" ca="1" si="2"/>
        <v>17002.125</v>
      </c>
      <c r="O12" s="7">
        <f ca="1">IF($C12&lt;PARAMETRELER!$D$2,$C12*0.205,PARAMETRELER!$D$2*0.205)</f>
        <v>4100.5124999999998</v>
      </c>
      <c r="P12" s="9">
        <f ca="1">IF($C12&lt;PARAMETRELER!$D$2,$C12*0.02,PARAMETRELER!$D$2*0.02)</f>
        <v>400.05</v>
      </c>
      <c r="Q12" s="19">
        <f t="shared" ca="1" si="3"/>
        <v>24503.0625</v>
      </c>
    </row>
    <row r="13" spans="1:17" ht="22.05" customHeight="1" thickBot="1" x14ac:dyDescent="0.35">
      <c r="A13" s="4" t="s">
        <v>6</v>
      </c>
      <c r="B13" s="29">
        <v>17002.125</v>
      </c>
      <c r="C13" s="10">
        <f t="shared" ca="1" si="0"/>
        <v>20002.5</v>
      </c>
      <c r="D13" s="5">
        <f ca="1">IF($C13&lt;PARAMETRELER!$D$2,$C13*0.14,PARAMETRELER!$D$2*0.14)</f>
        <v>2800.3500000000004</v>
      </c>
      <c r="E13" s="5">
        <f ca="1">IF(C13&lt;PARAMETRELER!$D$2,C13*0.01,PARAMETRELER!$D$2*0.01)</f>
        <v>200.02500000000001</v>
      </c>
      <c r="F13" s="5">
        <f t="shared" ca="1" si="1"/>
        <v>17002.125</v>
      </c>
      <c r="G13" s="5" cm="1">
        <f t="array" aca="1" ref="G13" ca="1">SUMPRODUCT(--(SUM($F$7:F13)&gt;PARAMETRELER!$D$19:$D$22), (SUM($F$7:F13)-PARAMETRELER!$D$19:$D$22), {0.15;0.05;0.07;0.08})-SUM($G$6:G12)</f>
        <v>3001.0625000000036</v>
      </c>
      <c r="H13" s="26">
        <f>IF(B13=0,0,PARAMETRELER!$E$4)</f>
        <v>17002.125</v>
      </c>
      <c r="I13" s="26" cm="1">
        <f t="array" ref="I13">SUMPRODUCT(--(SUM(H$7:$H13)&gt;PARAMETRELER!$D$19:$D$22), (SUM(H$7:$H13)-PARAMETRELER!$D$19:$D$22), {0.15;0.05;0.07;0.08})-SUM(I$6:$I12)</f>
        <v>3001.0625000000036</v>
      </c>
      <c r="J13" s="5">
        <f t="shared" ca="1" si="4"/>
        <v>0</v>
      </c>
      <c r="K13" s="5">
        <f t="shared" ca="1" si="6"/>
        <v>119014.875</v>
      </c>
      <c r="L13" s="5">
        <f ca="1">IF(C13-PARAMETRELER!$D$4&lt;0,0,C13-PARAMETRELER!$D$4)</f>
        <v>0</v>
      </c>
      <c r="M13" s="6">
        <f t="shared" ca="1" si="5"/>
        <v>0</v>
      </c>
      <c r="N13" s="28">
        <f t="shared" ca="1" si="2"/>
        <v>17002.125</v>
      </c>
      <c r="O13" s="7">
        <f ca="1">IF($C13&lt;PARAMETRELER!$D$2,$C13*0.205,PARAMETRELER!$D$2*0.205)</f>
        <v>4100.5124999999998</v>
      </c>
      <c r="P13" s="9">
        <f ca="1">IF($C13&lt;PARAMETRELER!$D$2,$C13*0.02,PARAMETRELER!$D$2*0.02)</f>
        <v>400.05</v>
      </c>
      <c r="Q13" s="19">
        <f t="shared" ca="1" si="3"/>
        <v>24503.0625</v>
      </c>
    </row>
    <row r="14" spans="1:17" ht="22.05" customHeight="1" thickBot="1" x14ac:dyDescent="0.35">
      <c r="A14" s="4" t="s">
        <v>7</v>
      </c>
      <c r="B14" s="29">
        <v>17002.125</v>
      </c>
      <c r="C14" s="10">
        <f t="shared" ca="1" si="0"/>
        <v>20002.5</v>
      </c>
      <c r="D14" s="5">
        <f ca="1">IF($C14&lt;PARAMETRELER!$D$2,$C14*0.14,PARAMETRELER!$D$2*0.14)</f>
        <v>2800.3500000000004</v>
      </c>
      <c r="E14" s="5">
        <f ca="1">IF(C14&lt;PARAMETRELER!$D$2,C14*0.01,PARAMETRELER!$D$2*0.01)</f>
        <v>200.02500000000001</v>
      </c>
      <c r="F14" s="5">
        <f t="shared" ca="1" si="1"/>
        <v>17002.125</v>
      </c>
      <c r="G14" s="5" cm="1">
        <f t="array" aca="1" ref="G14" ca="1">SUMPRODUCT(--(SUM($F$7:F14)&gt;PARAMETRELER!$D$19:$D$22), (SUM($F$7:F14)-PARAMETRELER!$D$19:$D$22), {0.15;0.05;0.07;0.08})-SUM($G$6:G13)</f>
        <v>3400.4249999999956</v>
      </c>
      <c r="H14" s="26">
        <f>IF(B14=0,0,PARAMETRELER!$E$4)</f>
        <v>17002.125</v>
      </c>
      <c r="I14" s="26" cm="1">
        <f t="array" ref="I14">SUMPRODUCT(--(SUM(H$7:$H14)&gt;PARAMETRELER!$D$19:$D$22), (SUM(H$7:$H14)-PARAMETRELER!$D$19:$D$22), {0.15;0.05;0.07;0.08})-SUM(I$6:$I13)</f>
        <v>3400.4249999999956</v>
      </c>
      <c r="J14" s="5">
        <f t="shared" ca="1" si="4"/>
        <v>0</v>
      </c>
      <c r="K14" s="5">
        <f t="shared" ca="1" si="6"/>
        <v>136017</v>
      </c>
      <c r="L14" s="5">
        <f ca="1">IF(C14-PARAMETRELER!$D$4&lt;0,0,C14-PARAMETRELER!$D$4)</f>
        <v>0</v>
      </c>
      <c r="M14" s="6">
        <f t="shared" ca="1" si="5"/>
        <v>0</v>
      </c>
      <c r="N14" s="28">
        <f t="shared" ca="1" si="2"/>
        <v>17002.125</v>
      </c>
      <c r="O14" s="7">
        <f ca="1">IF($C14&lt;PARAMETRELER!$D$2,$C14*0.205,PARAMETRELER!$D$2*0.205)</f>
        <v>4100.5124999999998</v>
      </c>
      <c r="P14" s="9">
        <f ca="1">IF($C14&lt;PARAMETRELER!$D$2,$C14*0.02,PARAMETRELER!$D$2*0.02)</f>
        <v>400.05</v>
      </c>
      <c r="Q14" s="19">
        <f t="shared" ca="1" si="3"/>
        <v>24503.0625</v>
      </c>
    </row>
    <row r="15" spans="1:17" ht="22.05" customHeight="1" thickBot="1" x14ac:dyDescent="0.35">
      <c r="A15" s="4" t="s">
        <v>8</v>
      </c>
      <c r="B15" s="29">
        <v>17002.125</v>
      </c>
      <c r="C15" s="10">
        <f t="shared" ca="1" si="0"/>
        <v>20002.5</v>
      </c>
      <c r="D15" s="5">
        <f ca="1">IF($C15&lt;PARAMETRELER!$D$2,$C15*0.14,PARAMETRELER!$D$2*0.14)</f>
        <v>2800.3500000000004</v>
      </c>
      <c r="E15" s="5">
        <f ca="1">IF(C15&lt;PARAMETRELER!$D$2,C15*0.01,PARAMETRELER!$D$2*0.01)</f>
        <v>200.02500000000001</v>
      </c>
      <c r="F15" s="5">
        <f t="shared" ca="1" si="1"/>
        <v>17002.125</v>
      </c>
      <c r="G15" s="5" cm="1">
        <f t="array" aca="1" ref="G15" ca="1">SUMPRODUCT(--(SUM($F$7:F15)&gt;PARAMETRELER!$D$19:$D$22), (SUM($F$7:F15)-PARAMETRELER!$D$19:$D$22), {0.15;0.05;0.07;0.08})-SUM($G$6:G14)</f>
        <v>3400.4249999999993</v>
      </c>
      <c r="H15" s="26">
        <f>IF(B15=0,0,PARAMETRELER!$E$4)</f>
        <v>17002.125</v>
      </c>
      <c r="I15" s="26" cm="1">
        <f t="array" ref="I15">SUMPRODUCT(--(SUM(H$7:$H15)&gt;PARAMETRELER!$D$19:$D$22), (SUM(H$7:$H15)-PARAMETRELER!$D$19:$D$22), {0.15;0.05;0.07;0.08})-SUM(I$6:$I14)</f>
        <v>3400.4249999999993</v>
      </c>
      <c r="J15" s="5">
        <f t="shared" ca="1" si="4"/>
        <v>0</v>
      </c>
      <c r="K15" s="5">
        <f t="shared" ca="1" si="6"/>
        <v>153019.125</v>
      </c>
      <c r="L15" s="5">
        <f ca="1">IF(C15-PARAMETRELER!$D$4&lt;0,0,C15-PARAMETRELER!$D$4)</f>
        <v>0</v>
      </c>
      <c r="M15" s="6">
        <f t="shared" ca="1" si="5"/>
        <v>0</v>
      </c>
      <c r="N15" s="28">
        <f t="shared" ca="1" si="2"/>
        <v>17002.125</v>
      </c>
      <c r="O15" s="7">
        <f ca="1">IF($C15&lt;PARAMETRELER!$D$2,$C15*0.205,PARAMETRELER!$D$2*0.205)</f>
        <v>4100.5124999999998</v>
      </c>
      <c r="P15" s="9">
        <f ca="1">IF($C15&lt;PARAMETRELER!$D$2,$C15*0.02,PARAMETRELER!$D$2*0.02)</f>
        <v>400.05</v>
      </c>
      <c r="Q15" s="19">
        <f t="shared" ca="1" si="3"/>
        <v>24503.0625</v>
      </c>
    </row>
    <row r="16" spans="1:17" ht="22.05" customHeight="1" thickBot="1" x14ac:dyDescent="0.35">
      <c r="A16" s="4" t="s">
        <v>9</v>
      </c>
      <c r="B16" s="29">
        <v>17002.125</v>
      </c>
      <c r="C16" s="10">
        <f t="shared" ca="1" si="0"/>
        <v>20002.5</v>
      </c>
      <c r="D16" s="5">
        <f ca="1">IF($C16&lt;PARAMETRELER!$D$2,$C16*0.14,PARAMETRELER!$D$2*0.14)</f>
        <v>2800.3500000000004</v>
      </c>
      <c r="E16" s="5">
        <f ca="1">IF(C16&lt;PARAMETRELER!$D$2,C16*0.01,PARAMETRELER!$D$2*0.01)</f>
        <v>200.02500000000001</v>
      </c>
      <c r="F16" s="5">
        <f t="shared" ca="1" si="1"/>
        <v>17002.125</v>
      </c>
      <c r="G16" s="5" cm="1">
        <f t="array" aca="1" ref="G16" ca="1">SUMPRODUCT(--(SUM($F$7:F16)&gt;PARAMETRELER!$D$19:$D$22), (SUM($F$7:F16)-PARAMETRELER!$D$19:$D$22), {0.15;0.05;0.07;0.08})-SUM($G$6:G15)</f>
        <v>3400.4250000000029</v>
      </c>
      <c r="H16" s="26">
        <f>IF(B16=0,0,PARAMETRELER!$E$4)</f>
        <v>17002.125</v>
      </c>
      <c r="I16" s="26" cm="1">
        <f t="array" ref="I16">SUMPRODUCT(--(SUM(H$7:$H16)&gt;PARAMETRELER!$D$19:$D$22), (SUM(H$7:$H16)-PARAMETRELER!$D$19:$D$22), {0.15;0.05;0.07;0.08})-SUM(I$6:$I15)</f>
        <v>3400.4250000000029</v>
      </c>
      <c r="J16" s="5">
        <f t="shared" ca="1" si="4"/>
        <v>0</v>
      </c>
      <c r="K16" s="5">
        <f t="shared" ca="1" si="6"/>
        <v>170021.25</v>
      </c>
      <c r="L16" s="5">
        <f ca="1">IF(C16-PARAMETRELER!$D$4&lt;0,0,C16-PARAMETRELER!$D$4)</f>
        <v>0</v>
      </c>
      <c r="M16" s="6">
        <f t="shared" ca="1" si="5"/>
        <v>0</v>
      </c>
      <c r="N16" s="28">
        <f t="shared" ca="1" si="2"/>
        <v>17002.125</v>
      </c>
      <c r="O16" s="7">
        <f ca="1">IF($C16&lt;PARAMETRELER!$D$2,$C16*0.205,PARAMETRELER!$D$2*0.205)</f>
        <v>4100.5124999999998</v>
      </c>
      <c r="P16" s="9">
        <f ca="1">IF($C16&lt;PARAMETRELER!$D$2,$C16*0.02,PARAMETRELER!$D$2*0.02)</f>
        <v>400.05</v>
      </c>
      <c r="Q16" s="19">
        <f t="shared" ca="1" si="3"/>
        <v>24503.0625</v>
      </c>
    </row>
    <row r="17" spans="1:17" ht="22.05" customHeight="1" thickBot="1" x14ac:dyDescent="0.35">
      <c r="A17" s="4" t="s">
        <v>10</v>
      </c>
      <c r="B17" s="29">
        <v>17002.125</v>
      </c>
      <c r="C17" s="10">
        <f t="shared" ca="1" si="0"/>
        <v>20002.5</v>
      </c>
      <c r="D17" s="5">
        <f ca="1">IF($C17&lt;PARAMETRELER!$D$2,$C17*0.14,PARAMETRELER!$D$2*0.14)</f>
        <v>2800.3500000000004</v>
      </c>
      <c r="E17" s="5">
        <f ca="1">IF(C17&lt;PARAMETRELER!$D$2,C17*0.01,PARAMETRELER!$D$2*0.01)</f>
        <v>200.02500000000001</v>
      </c>
      <c r="F17" s="5">
        <f t="shared" ca="1" si="1"/>
        <v>17002.125</v>
      </c>
      <c r="G17" s="5" cm="1">
        <f t="array" aca="1" ref="G17" ca="1">SUMPRODUCT(--(SUM($F$7:F17)&gt;PARAMETRELER!$D$19:$D$22), (SUM($F$7:F17)-PARAMETRELER!$D$19:$D$22), {0.15;0.05;0.07;0.08})-SUM($G$6:G16)</f>
        <v>3400.4249999999993</v>
      </c>
      <c r="H17" s="26">
        <f>IF(B17=0,0,PARAMETRELER!$E$4)</f>
        <v>17002.125</v>
      </c>
      <c r="I17" s="26" cm="1">
        <f t="array" ref="I17">SUMPRODUCT(--(SUM(H$7:$H17)&gt;PARAMETRELER!$D$19:$D$22), (SUM(H$7:$H17)-PARAMETRELER!$D$19:$D$22), {0.15;0.05;0.07;0.08})-SUM(I$6:$I16)</f>
        <v>3400.4249999999993</v>
      </c>
      <c r="J17" s="5">
        <f t="shared" ca="1" si="4"/>
        <v>0</v>
      </c>
      <c r="K17" s="5">
        <f t="shared" ca="1" si="6"/>
        <v>187023.375</v>
      </c>
      <c r="L17" s="5">
        <f ca="1">IF(C17-PARAMETRELER!$D$4&lt;0,0,C17-PARAMETRELER!$D$4)</f>
        <v>0</v>
      </c>
      <c r="M17" s="6">
        <f t="shared" ca="1" si="5"/>
        <v>0</v>
      </c>
      <c r="N17" s="28">
        <f t="shared" ca="1" si="2"/>
        <v>17002.125</v>
      </c>
      <c r="O17" s="7">
        <f ca="1">IF($C17&lt;PARAMETRELER!$D$2,$C17*0.205,PARAMETRELER!$D$2*0.205)</f>
        <v>4100.5124999999998</v>
      </c>
      <c r="P17" s="9">
        <f ca="1">IF($C17&lt;PARAMETRELER!$D$2,$C17*0.02,PARAMETRELER!$D$2*0.02)</f>
        <v>400.05</v>
      </c>
      <c r="Q17" s="19">
        <f t="shared" ca="1" si="3"/>
        <v>24503.0625</v>
      </c>
    </row>
    <row r="18" spans="1:17" ht="22.05" customHeight="1" thickBot="1" x14ac:dyDescent="0.35">
      <c r="A18" s="8" t="s">
        <v>11</v>
      </c>
      <c r="B18" s="29">
        <v>17002.125</v>
      </c>
      <c r="C18" s="10">
        <f t="shared" ca="1" si="0"/>
        <v>20002.5</v>
      </c>
      <c r="D18" s="5">
        <f ca="1">IF($C18&lt;PARAMETRELER!$D$2,$C18*0.14,PARAMETRELER!$D$2*0.14)</f>
        <v>2800.3500000000004</v>
      </c>
      <c r="E18" s="5">
        <f ca="1">IF(C18&lt;PARAMETRELER!$D$2,C18*0.01,PARAMETRELER!$D$2*0.01)</f>
        <v>200.02500000000001</v>
      </c>
      <c r="F18" s="5">
        <f t="shared" ca="1" si="1"/>
        <v>17002.125</v>
      </c>
      <c r="G18" s="5" cm="1">
        <f t="array" aca="1" ref="G18" ca="1">SUMPRODUCT(--(SUM($F$7:F18)&gt;PARAMETRELER!$D$19:$D$22), (SUM($F$7:F18)-PARAMETRELER!$D$19:$D$22), {0.15;0.05;0.07;0.08})-SUM($G$6:G17)</f>
        <v>3400.4249999999993</v>
      </c>
      <c r="H18" s="26">
        <f>IF(B18=0,0,PARAMETRELER!$E$4)</f>
        <v>17002.125</v>
      </c>
      <c r="I18" s="26" cm="1">
        <f t="array" ref="I18">SUMPRODUCT(--(SUM(H$7:$H18)&gt;PARAMETRELER!$D$19:$D$22), (SUM(H$7:$H18)-PARAMETRELER!$D$19:$D$22), {0.15;0.05;0.07;0.08})-SUM(I$6:$I17)</f>
        <v>3400.4249999999993</v>
      </c>
      <c r="J18" s="5">
        <f t="shared" ca="1" si="4"/>
        <v>0</v>
      </c>
      <c r="K18" s="5">
        <f t="shared" ca="1" si="6"/>
        <v>204025.5</v>
      </c>
      <c r="L18" s="5">
        <f ca="1">IF(C18-PARAMETRELER!$D$4&lt;0,0,C18-PARAMETRELER!$D$4)</f>
        <v>0</v>
      </c>
      <c r="M18" s="6">
        <f t="shared" ca="1" si="5"/>
        <v>0</v>
      </c>
      <c r="N18" s="28">
        <f t="shared" ca="1" si="2"/>
        <v>17002.125</v>
      </c>
      <c r="O18" s="7">
        <f ca="1">IF($C18&lt;PARAMETRELER!$D$2,$C18*0.205,PARAMETRELER!$D$2*0.205)</f>
        <v>4100.5124999999998</v>
      </c>
      <c r="P18" s="9">
        <f ca="1">IF($C18&lt;PARAMETRELER!$D$2,$C18*0.02,PARAMETRELER!$D$2*0.02)</f>
        <v>400.05</v>
      </c>
      <c r="Q18" s="19">
        <f t="shared" ca="1" si="3"/>
        <v>24503.0625</v>
      </c>
    </row>
    <row r="19" spans="1:17" ht="28.2" customHeight="1" thickBot="1" x14ac:dyDescent="0.35">
      <c r="A19" s="11" t="s">
        <v>25</v>
      </c>
      <c r="B19" s="12">
        <f>SUM(B7:B18)</f>
        <v>204025.5</v>
      </c>
      <c r="C19" s="13">
        <f t="shared" ref="C19:Q19" ca="1" si="7">SUM(C7:C18)</f>
        <v>240030</v>
      </c>
      <c r="D19" s="13">
        <f t="shared" ca="1" si="7"/>
        <v>33604.199999999997</v>
      </c>
      <c r="E19" s="13">
        <f t="shared" ca="1" si="7"/>
        <v>2400.3000000000006</v>
      </c>
      <c r="F19" s="13">
        <f ca="1">SUM(F7:F18)</f>
        <v>204025.5</v>
      </c>
      <c r="G19" s="13">
        <f t="shared" ca="1" si="7"/>
        <v>35305.1</v>
      </c>
      <c r="H19" s="13"/>
      <c r="I19" s="13"/>
      <c r="J19" s="13">
        <f t="shared" ref="J19" ca="1" si="8">SUM(J7:J18)</f>
        <v>0</v>
      </c>
      <c r="K19" s="13"/>
      <c r="L19" s="13"/>
      <c r="M19" s="13">
        <f t="shared" ca="1" si="7"/>
        <v>0</v>
      </c>
      <c r="N19" s="13">
        <f ca="1">SUM(N7:N18)</f>
        <v>204025.5</v>
      </c>
      <c r="O19" s="14">
        <f t="shared" ca="1" si="7"/>
        <v>49206.149999999987</v>
      </c>
      <c r="P19" s="14">
        <f t="shared" ca="1" si="7"/>
        <v>4800.6000000000013</v>
      </c>
      <c r="Q19" s="13">
        <f t="shared" ca="1" si="7"/>
        <v>294036.75</v>
      </c>
    </row>
  </sheetData>
  <sheetProtection formatColumns="0" formatRows="0" insertColumns="0" insertRows="0" deleteColumns="0" deleteRows="0" selectLockedCells="1" selectUnlockedCells="1"/>
  <mergeCells count="2">
    <mergeCell ref="A6:B6"/>
    <mergeCell ref="A4:K4"/>
  </mergeCells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29AFA-9ABF-4AF5-9FA9-EEA8C7D20721}">
  <sheetPr>
    <tabColor theme="1"/>
  </sheetPr>
  <dimension ref="B2:J22"/>
  <sheetViews>
    <sheetView workbookViewId="0">
      <selection activeCell="D19" sqref="D19"/>
    </sheetView>
  </sheetViews>
  <sheetFormatPr defaultRowHeight="14.4" x14ac:dyDescent="0.3"/>
  <cols>
    <col min="2" max="2" width="41.5546875" bestFit="1" customWidth="1"/>
    <col min="4" max="4" width="22.6640625" style="23" bestFit="1" customWidth="1"/>
    <col min="5" max="5" width="22.44140625" bestFit="1" customWidth="1"/>
  </cols>
  <sheetData>
    <row r="2" spans="2:10" x14ac:dyDescent="0.3">
      <c r="B2" s="20" t="s">
        <v>28</v>
      </c>
      <c r="D2" s="21">
        <v>150018.75</v>
      </c>
    </row>
    <row r="3" spans="2:10" x14ac:dyDescent="0.3">
      <c r="D3" s="22" t="s">
        <v>29</v>
      </c>
      <c r="E3" s="22" t="s">
        <v>30</v>
      </c>
    </row>
    <row r="4" spans="2:10" x14ac:dyDescent="0.3">
      <c r="B4" s="20" t="s">
        <v>31</v>
      </c>
      <c r="D4" s="21">
        <v>20002.5</v>
      </c>
      <c r="E4" s="21">
        <v>17002.125</v>
      </c>
    </row>
    <row r="5" spans="2:10" x14ac:dyDescent="0.3">
      <c r="F5" s="33" t="s">
        <v>32</v>
      </c>
      <c r="G5" s="33"/>
      <c r="H5" s="33"/>
      <c r="I5" s="33"/>
      <c r="J5" s="33"/>
    </row>
    <row r="6" spans="2:10" x14ac:dyDescent="0.3">
      <c r="B6" s="20" t="s">
        <v>33</v>
      </c>
      <c r="C6" s="20" t="s">
        <v>0</v>
      </c>
      <c r="D6" s="21">
        <v>2550.3187499999999</v>
      </c>
      <c r="F6" s="33"/>
      <c r="G6" s="33"/>
      <c r="H6" s="33"/>
      <c r="I6" s="33"/>
      <c r="J6" s="33"/>
    </row>
    <row r="7" spans="2:10" x14ac:dyDescent="0.3">
      <c r="C7" s="20" t="s">
        <v>1</v>
      </c>
      <c r="D7" s="21">
        <v>2550.3187499999999</v>
      </c>
      <c r="F7" s="33"/>
      <c r="G7" s="33"/>
      <c r="H7" s="33"/>
      <c r="I7" s="33"/>
      <c r="J7" s="33"/>
    </row>
    <row r="8" spans="2:10" x14ac:dyDescent="0.3">
      <c r="C8" s="20" t="s">
        <v>2</v>
      </c>
      <c r="D8" s="21">
        <v>2550.3187499999995</v>
      </c>
    </row>
    <row r="9" spans="2:10" x14ac:dyDescent="0.3">
      <c r="C9" s="20" t="s">
        <v>3</v>
      </c>
      <c r="D9" s="21">
        <v>2550.3187500000004</v>
      </c>
    </row>
    <row r="10" spans="2:10" x14ac:dyDescent="0.3">
      <c r="C10" s="20" t="s">
        <v>4</v>
      </c>
      <c r="D10" s="21">
        <v>2550.3187500000004</v>
      </c>
    </row>
    <row r="11" spans="2:10" x14ac:dyDescent="0.3">
      <c r="C11" s="20" t="s">
        <v>5</v>
      </c>
      <c r="D11" s="21">
        <v>2550.3187499999985</v>
      </c>
    </row>
    <row r="12" spans="2:10" x14ac:dyDescent="0.3">
      <c r="C12" s="20" t="s">
        <v>6</v>
      </c>
      <c r="D12" s="21">
        <v>3001.0625000000036</v>
      </c>
    </row>
    <row r="13" spans="2:10" x14ac:dyDescent="0.3">
      <c r="C13" s="20" t="s">
        <v>7</v>
      </c>
      <c r="D13" s="21">
        <v>3400.4249999999956</v>
      </c>
    </row>
    <row r="14" spans="2:10" x14ac:dyDescent="0.3">
      <c r="C14" s="20" t="s">
        <v>8</v>
      </c>
      <c r="D14" s="21">
        <v>3400.4249999999993</v>
      </c>
    </row>
    <row r="15" spans="2:10" x14ac:dyDescent="0.3">
      <c r="C15" s="20" t="s">
        <v>9</v>
      </c>
      <c r="D15" s="21">
        <v>3400.4250000000029</v>
      </c>
    </row>
    <row r="16" spans="2:10" x14ac:dyDescent="0.3">
      <c r="C16" s="20" t="s">
        <v>10</v>
      </c>
      <c r="D16" s="21">
        <v>3400.4249999999993</v>
      </c>
    </row>
    <row r="17" spans="2:4" x14ac:dyDescent="0.3">
      <c r="C17" s="20" t="s">
        <v>11</v>
      </c>
      <c r="D17" s="21">
        <v>3400.4249999999993</v>
      </c>
    </row>
    <row r="19" spans="2:4" x14ac:dyDescent="0.3">
      <c r="B19" s="20" t="s">
        <v>34</v>
      </c>
      <c r="C19" s="24">
        <v>0.15</v>
      </c>
      <c r="D19" s="25">
        <v>0</v>
      </c>
    </row>
    <row r="20" spans="2:4" x14ac:dyDescent="0.3">
      <c r="C20" s="24">
        <v>0.2</v>
      </c>
      <c r="D20" s="25">
        <v>110000</v>
      </c>
    </row>
    <row r="21" spans="2:4" x14ac:dyDescent="0.3">
      <c r="C21" s="24">
        <v>0.27</v>
      </c>
      <c r="D21" s="25">
        <v>230000</v>
      </c>
    </row>
    <row r="22" spans="2:4" x14ac:dyDescent="0.3">
      <c r="C22" s="24">
        <v>0.35</v>
      </c>
      <c r="D22" s="25">
        <v>870000</v>
      </c>
    </row>
  </sheetData>
  <mergeCells count="1">
    <mergeCell ref="F5:J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NETTEN BRÜTE</vt:lpstr>
      <vt:lpstr>PARAMETRELER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2024-01-01T19:56:48Z</dcterms:modified>
</cp:coreProperties>
</file>