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 defaultThemeVersion="124226"/>
  <xr:revisionPtr revIDLastSave="0" documentId="13_ncr:1_{566128BA-948A-4068-B3F1-F00FCAA1BF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RÜTTEN NETE" sheetId="12" r:id="rId1"/>
    <sheet name="PARAMETRELER" sheetId="13" state="hidden" r:id="rId2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2" l="1"/>
  <c r="J10" i="12"/>
  <c r="J11" i="12" s="1"/>
  <c r="J12" i="12" s="1"/>
  <c r="J13" i="12" s="1"/>
  <c r="J14" i="12" s="1"/>
  <c r="J15" i="12" s="1"/>
  <c r="J16" i="12" s="1"/>
  <c r="J17" i="12" s="1"/>
  <c r="J18" i="12" s="1"/>
  <c r="J8" i="12"/>
  <c r="C8" i="12"/>
  <c r="E8" i="12" s="1"/>
  <c r="D8" i="12"/>
  <c r="G8" i="12"/>
  <c r="H8" i="12" a="1"/>
  <c r="H8" i="12" s="1"/>
  <c r="K8" i="12"/>
  <c r="L8" i="12" s="1"/>
  <c r="N8" i="12"/>
  <c r="O8" i="12"/>
  <c r="C9" i="12"/>
  <c r="E9" i="12" s="1"/>
  <c r="D9" i="12"/>
  <c r="G9" i="12"/>
  <c r="K9" i="12"/>
  <c r="L9" i="12" s="1"/>
  <c r="N9" i="12"/>
  <c r="O9" i="12"/>
  <c r="C10" i="12"/>
  <c r="E10" i="12" s="1"/>
  <c r="D10" i="12"/>
  <c r="G10" i="12"/>
  <c r="K10" i="12"/>
  <c r="L10" i="12"/>
  <c r="N10" i="12"/>
  <c r="O10" i="12"/>
  <c r="C11" i="12"/>
  <c r="D11" i="12"/>
  <c r="E11" i="12"/>
  <c r="G11" i="12"/>
  <c r="K11" i="12"/>
  <c r="L11" i="12" s="1"/>
  <c r="N11" i="12"/>
  <c r="O11" i="12"/>
  <c r="C12" i="12"/>
  <c r="D12" i="12"/>
  <c r="E12" i="12"/>
  <c r="G12" i="12"/>
  <c r="K12" i="12"/>
  <c r="L12" i="12"/>
  <c r="N12" i="12"/>
  <c r="O12" i="12"/>
  <c r="C13" i="12"/>
  <c r="D13" i="12"/>
  <c r="E13" i="12"/>
  <c r="G13" i="12"/>
  <c r="K13" i="12"/>
  <c r="L13" i="12"/>
  <c r="N13" i="12"/>
  <c r="O13" i="12"/>
  <c r="C14" i="12"/>
  <c r="D14" i="12"/>
  <c r="E14" i="12"/>
  <c r="G14" i="12"/>
  <c r="K14" i="12"/>
  <c r="L14" i="12"/>
  <c r="N14" i="12"/>
  <c r="O14" i="12"/>
  <c r="C15" i="12"/>
  <c r="E15" i="12" s="1"/>
  <c r="D15" i="12"/>
  <c r="G15" i="12"/>
  <c r="K15" i="12"/>
  <c r="L15" i="12"/>
  <c r="N15" i="12"/>
  <c r="O15" i="12"/>
  <c r="C16" i="12"/>
  <c r="D16" i="12"/>
  <c r="E16" i="12" s="1"/>
  <c r="G16" i="12"/>
  <c r="K16" i="12"/>
  <c r="L16" i="12"/>
  <c r="N16" i="12"/>
  <c r="O16" i="12"/>
  <c r="C17" i="12"/>
  <c r="E17" i="12" s="1"/>
  <c r="D17" i="12"/>
  <c r="G17" i="12"/>
  <c r="K17" i="12"/>
  <c r="L17" i="12" s="1"/>
  <c r="N17" i="12"/>
  <c r="O17" i="12"/>
  <c r="C18" i="12"/>
  <c r="E18" i="12" s="1"/>
  <c r="D18" i="12"/>
  <c r="G18" i="12"/>
  <c r="K18" i="12"/>
  <c r="L18" i="12"/>
  <c r="N18" i="12"/>
  <c r="O18" i="12"/>
  <c r="N7" i="12"/>
  <c r="D7" i="12"/>
  <c r="C7" i="12"/>
  <c r="O7" i="12"/>
  <c r="H9" i="12" l="1" a="1"/>
  <c r="H9" i="12" s="1"/>
  <c r="F8" i="12" a="1"/>
  <c r="F8" i="12" s="1"/>
  <c r="I8" i="12" s="1"/>
  <c r="M8" i="12" s="1"/>
  <c r="H10" i="12" a="1"/>
  <c r="H10" i="12" s="1"/>
  <c r="H12" i="12" s="1" a="1"/>
  <c r="H12" i="12" s="1"/>
  <c r="H11" i="12" a="1"/>
  <c r="H11" i="12" s="1"/>
  <c r="G7" i="12"/>
  <c r="K7" i="12"/>
  <c r="F9" i="12" l="1" a="1"/>
  <c r="F9" i="12" s="1"/>
  <c r="I9" i="12" s="1"/>
  <c r="M9" i="12" s="1"/>
  <c r="H13" i="12" a="1"/>
  <c r="H13" i="12" s="1"/>
  <c r="H14" i="12" a="1"/>
  <c r="H14" i="12" s="1"/>
  <c r="F10" i="12" a="1"/>
  <c r="F10" i="12" s="1"/>
  <c r="I10" i="12" s="1"/>
  <c r="M10" i="12" s="1"/>
  <c r="H7" i="12" a="1"/>
  <c r="H7" i="12" s="1"/>
  <c r="K19" i="12"/>
  <c r="H15" i="12" l="1" a="1"/>
  <c r="H15" i="12" s="1"/>
  <c r="F11" i="12" a="1"/>
  <c r="F11" i="12" s="1"/>
  <c r="F12" i="12" s="1" a="1"/>
  <c r="F12" i="12" s="1"/>
  <c r="B31" i="12"/>
  <c r="I12" i="12" l="1"/>
  <c r="M12" i="12" s="1"/>
  <c r="H17" i="12" a="1"/>
  <c r="H17" i="12" s="1"/>
  <c r="H18" i="12" s="1" a="1"/>
  <c r="H18" i="12" s="1"/>
  <c r="I11" i="12"/>
  <c r="M11" i="12" s="1"/>
  <c r="F13" i="12" a="1"/>
  <c r="F13" i="12" s="1"/>
  <c r="I13" i="12" s="1"/>
  <c r="M13" i="12" s="1"/>
  <c r="F14" i="12" a="1"/>
  <c r="F14" i="12" s="1"/>
  <c r="I14" i="12" s="1"/>
  <c r="M14" i="12" s="1"/>
  <c r="H16" i="12" a="1"/>
  <c r="H16" i="12" s="1"/>
  <c r="B36" i="12"/>
  <c r="N36" i="12" s="1"/>
  <c r="B35" i="12"/>
  <c r="B34" i="12"/>
  <c r="D34" i="12" s="1"/>
  <c r="B33" i="12"/>
  <c r="N33" i="12" s="1"/>
  <c r="B32" i="12"/>
  <c r="N32" i="12" s="1"/>
  <c r="N31" i="12"/>
  <c r="F15" i="12" l="1" a="1"/>
  <c r="F15" i="12" s="1"/>
  <c r="I15" i="12" s="1"/>
  <c r="M15" i="12" s="1"/>
  <c r="C36" i="12"/>
  <c r="C33" i="12"/>
  <c r="B42" i="12"/>
  <c r="D42" i="12" s="1"/>
  <c r="K32" i="12"/>
  <c r="L32" i="12" s="1"/>
  <c r="O33" i="12"/>
  <c r="P33" i="12" s="1"/>
  <c r="K36" i="12"/>
  <c r="L36" i="12" s="1"/>
  <c r="B41" i="12"/>
  <c r="O41" i="12" s="1"/>
  <c r="O32" i="12"/>
  <c r="P32" i="12" s="1"/>
  <c r="D33" i="12"/>
  <c r="B39" i="12"/>
  <c r="N39" i="12" s="1"/>
  <c r="K33" i="12"/>
  <c r="L33" i="12" s="1"/>
  <c r="O36" i="12"/>
  <c r="P36" i="12" s="1"/>
  <c r="B38" i="12"/>
  <c r="D38" i="12" s="1"/>
  <c r="C32" i="12"/>
  <c r="B37" i="12"/>
  <c r="B40" i="12"/>
  <c r="D40" i="12" s="1"/>
  <c r="C31" i="12"/>
  <c r="D32" i="12"/>
  <c r="K34" i="12"/>
  <c r="L34" i="12" s="1"/>
  <c r="O34" i="12"/>
  <c r="C35" i="12"/>
  <c r="D36" i="12"/>
  <c r="N35" i="12"/>
  <c r="K31" i="12"/>
  <c r="L31" i="12" s="1"/>
  <c r="O31" i="12"/>
  <c r="N34" i="12"/>
  <c r="K35" i="12"/>
  <c r="L35" i="12" s="1"/>
  <c r="O35" i="12"/>
  <c r="D31" i="12"/>
  <c r="C34" i="12"/>
  <c r="D35" i="12"/>
  <c r="L7" i="12"/>
  <c r="F16" i="12" l="1" a="1"/>
  <c r="F16" i="12" s="1"/>
  <c r="P35" i="12"/>
  <c r="D39" i="12"/>
  <c r="E36" i="12"/>
  <c r="E32" i="12"/>
  <c r="N41" i="12"/>
  <c r="P41" i="12" s="1"/>
  <c r="D41" i="12"/>
  <c r="K41" i="12"/>
  <c r="L41" i="12" s="1"/>
  <c r="C41" i="12"/>
  <c r="N42" i="12"/>
  <c r="O42" i="12"/>
  <c r="B43" i="12"/>
  <c r="E33" i="12"/>
  <c r="C42" i="12"/>
  <c r="E42" i="12" s="1"/>
  <c r="N38" i="12"/>
  <c r="K42" i="12"/>
  <c r="L42" i="12" s="1"/>
  <c r="C38" i="12"/>
  <c r="E38" i="12" s="1"/>
  <c r="C39" i="12"/>
  <c r="O39" i="12"/>
  <c r="P39" i="12" s="1"/>
  <c r="O38" i="12"/>
  <c r="K39" i="12"/>
  <c r="L39" i="12" s="1"/>
  <c r="N37" i="12"/>
  <c r="K37" i="12"/>
  <c r="L37" i="12" s="1"/>
  <c r="D37" i="12"/>
  <c r="O37" i="12"/>
  <c r="C37" i="12"/>
  <c r="K38" i="12"/>
  <c r="L38" i="12" s="1"/>
  <c r="N40" i="12"/>
  <c r="O40" i="12"/>
  <c r="K40" i="12"/>
  <c r="L40" i="12" s="1"/>
  <c r="C40" i="12"/>
  <c r="E40" i="12" s="1"/>
  <c r="E35" i="12"/>
  <c r="E31" i="12"/>
  <c r="P34" i="12"/>
  <c r="E34" i="12"/>
  <c r="P31" i="12"/>
  <c r="E7" i="12"/>
  <c r="P7" i="12"/>
  <c r="B19" i="12"/>
  <c r="I16" i="12" l="1"/>
  <c r="M16" i="12" s="1"/>
  <c r="F17" i="12" a="1"/>
  <c r="F17" i="12" s="1"/>
  <c r="F7" i="12" a="1"/>
  <c r="F7" i="12" s="1"/>
  <c r="D43" i="12"/>
  <c r="E39" i="12"/>
  <c r="E41" i="12"/>
  <c r="P37" i="12"/>
  <c r="P42" i="12"/>
  <c r="O43" i="12"/>
  <c r="P38" i="12"/>
  <c r="L43" i="12"/>
  <c r="E37" i="12"/>
  <c r="N43" i="12"/>
  <c r="P40" i="12"/>
  <c r="C43" i="12"/>
  <c r="J31" i="12"/>
  <c r="J32" i="12" s="1"/>
  <c r="J33" i="12" s="1"/>
  <c r="J34" i="12" s="1"/>
  <c r="J35" i="12" s="1"/>
  <c r="J36" i="12" s="1"/>
  <c r="J7" i="12"/>
  <c r="P11" i="12"/>
  <c r="E19" i="12"/>
  <c r="P15" i="12"/>
  <c r="C19" i="12"/>
  <c r="D19" i="12"/>
  <c r="P8" i="12"/>
  <c r="N19" i="12"/>
  <c r="P13" i="12"/>
  <c r="P9" i="12"/>
  <c r="L19" i="12"/>
  <c r="O19" i="12"/>
  <c r="P16" i="12"/>
  <c r="P12" i="12"/>
  <c r="P17" i="12"/>
  <c r="P18" i="12"/>
  <c r="P14" i="12"/>
  <c r="P10" i="12"/>
  <c r="I17" i="12" l="1"/>
  <c r="M17" i="12" s="1"/>
  <c r="F18" i="12" a="1"/>
  <c r="F18" i="12" s="1"/>
  <c r="I18" i="12" s="1"/>
  <c r="M18" i="12" s="1"/>
  <c r="J37" i="12"/>
  <c r="J38" i="12" s="1"/>
  <c r="J39" i="12" s="1"/>
  <c r="J40" i="12" s="1"/>
  <c r="J41" i="12" s="1"/>
  <c r="J42" i="12" s="1"/>
  <c r="I7" i="12"/>
  <c r="P43" i="12"/>
  <c r="P19" i="12"/>
  <c r="M7" i="12" l="1"/>
  <c r="I31" i="12" l="1"/>
  <c r="I32" i="12" l="1"/>
  <c r="M32" i="12" s="1"/>
  <c r="M31" i="12"/>
  <c r="I33" i="12" l="1"/>
  <c r="I34" i="12" l="1"/>
  <c r="M34" i="12" s="1"/>
  <c r="M33" i="12"/>
  <c r="I35" i="12" l="1"/>
  <c r="I36" i="12" l="1"/>
  <c r="M36" i="12" s="1"/>
  <c r="M35" i="12"/>
  <c r="I37" i="12" l="1"/>
  <c r="I38" i="12" l="1"/>
  <c r="M38" i="12" s="1"/>
  <c r="M37" i="12"/>
  <c r="F19" i="12" l="1"/>
  <c r="M19" i="12"/>
  <c r="I19" i="12"/>
  <c r="I39" i="12"/>
  <c r="I40" i="12" l="1"/>
  <c r="M40" i="12" s="1"/>
  <c r="M39" i="12"/>
  <c r="I41" i="12" l="1"/>
  <c r="M41" i="12" s="1"/>
  <c r="I42" i="12" l="1"/>
  <c r="M42" i="12" l="1"/>
  <c r="M43" i="12" s="1"/>
  <c r="I43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<sst xmlns="http://schemas.openxmlformats.org/spreadsheetml/2006/main" count="73" uniqueCount="36">
  <si>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</si>
  <si>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</si>
  <si>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</si>
  <si>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</si>
  <si>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</si>
  <si>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</si>
  <si>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</si>
  <si>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</si>
  <si>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</si>
  <si>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</si>
  <si>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</si>
  <si>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</si>
  <si>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TOPLAM İŞVEREN MALİYETİ</t>
  </si>
  <si>
    <t>NET ÜCRET</t>
  </si>
  <si>
    <t>BRÜT ÜCRET</t>
  </si>
  <si>
    <t>SGK PRİMİ</t>
  </si>
  <si>
    <t>İŞSİZLİK PRİMİ</t>
  </si>
  <si>
    <t>GELİR VERGİSİ</t>
  </si>
  <si>
    <t>KÜMÜLATİF GELİR VERGİSİ</t>
  </si>
  <si>
    <t>DAMGA VERGİSİ MATRAHI</t>
  </si>
  <si>
    <t>DAMGA VERGİSİ</t>
  </si>
  <si>
    <t>AYLIK GELİR VERGİSİ MATRAHI</t>
  </si>
  <si>
    <t>İŞVEREN SGK PRİMİ</t>
  </si>
  <si>
    <t>İŞVEREN İŞSSİZLİK PRİMİ</t>
  </si>
  <si>
    <t>İSTİSNA DÜŞÜLDÜKTEN SONRA GELİR VERGİSİ</t>
  </si>
  <si>
    <t>TOPLAM</t>
  </si>
  <si>
    <t>ASGARİ ÜCRET</t>
  </si>
  <si>
    <t>ASGARİ ÜCRET GELİR VERGİSİ</t>
  </si>
  <si>
    <t>SARI İŞARETLİ ALAN HARİCİ DÜZENLEME YAPMAYINIZ</t>
  </si>
  <si>
    <t>SGK TAVAN</t>
  </si>
  <si>
    <t>BRÜT ASGARİ ÜCRET</t>
  </si>
  <si>
    <t>SADECE YEŞİL KISIMLAR DOLDURULACAK.</t>
  </si>
  <si>
    <t>AYLARA GÖRE ASGARİ ÜCRET VERGİ İSTİSNALARI</t>
  </si>
  <si>
    <t>VERGİ DİLİMLERİ</t>
  </si>
  <si>
    <t>BRÜT</t>
  </si>
  <si>
    <t>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</si>
</sst>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TL&quot;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Narrow"/>
      <family val="2"/>
      <charset val="162"/>
    </font>
    <font>
      <b/>
      <sz val="12"/>
      <color theme="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charset val="162"/>
      <scheme val="minor"/>
    </font>
    <font>
      <sz val="8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12"/>
      <color theme="3" tint="-0.249977111117893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12" fillId="3" borderId="0" xfId="0" applyFont="1" applyFill="1" applyAlignment="1" applyProtection="1">
      <alignment vertical="center" wrapText="1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1" fillId="0" borderId="8" xfId="0" applyNumberFormat="1" applyFont="1" applyBorder="1" applyAlignment="1" applyProtection="1">
      <alignment horizontal="center" vertical="center"/>
      <protection locked="0"/>
    </xf>
    <xf numFmtId="164" fontId="8" fillId="2" borderId="9" xfId="0" applyNumberFormat="1" applyFont="1" applyFill="1" applyBorder="1" applyAlignment="1" applyProtection="1">
      <alignment horizontal="center" vertical="center"/>
      <protection locked="0"/>
    </xf>
    <xf numFmtId="164" fontId="8" fillId="2" borderId="12" xfId="0" applyNumberFormat="1" applyFont="1" applyFill="1" applyBorder="1" applyAlignment="1" applyProtection="1">
      <alignment horizontal="center" vertical="center"/>
      <protection locked="0"/>
    </xf>
    <xf numFmtId="164" fontId="9" fillId="2" borderId="13" xfId="0" applyNumberFormat="1" applyFont="1" applyFill="1" applyBorder="1" applyAlignment="1" applyProtection="1">
      <alignment horizontal="center" vertical="center"/>
      <protection locked="0"/>
    </xf>
    <xf numFmtId="164" fontId="8" fillId="2" borderId="3" xfId="0" applyNumberFormat="1" applyFont="1" applyFill="1" applyBorder="1" applyAlignment="1" applyProtection="1">
      <alignment horizontal="center" vertical="center"/>
      <protection locked="0"/>
    </xf>
    <xf numFmtId="164" fontId="8" fillId="2" borderId="8" xfId="0" applyNumberFormat="1" applyFont="1" applyFill="1" applyBorder="1" applyAlignment="1" applyProtection="1">
      <alignment horizontal="center" vertical="center"/>
      <protection locked="0"/>
    </xf>
    <xf numFmtId="164" fontId="9" fillId="2" borderId="14" xfId="0" applyNumberFormat="1" applyFont="1" applyFill="1" applyBorder="1" applyAlignment="1" applyProtection="1">
      <alignment horizontal="center" vertical="center"/>
      <protection locked="0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164" fontId="1" fillId="0" borderId="11" xfId="0" applyNumberFormat="1" applyFont="1" applyBorder="1" applyAlignment="1" applyProtection="1">
      <alignment horizontal="center" vertical="center"/>
      <protection locked="0"/>
    </xf>
    <xf numFmtId="164" fontId="8" fillId="2" borderId="4" xfId="0" applyNumberFormat="1" applyFont="1" applyFill="1" applyBorder="1" applyAlignment="1" applyProtection="1">
      <alignment horizontal="center" vertical="center"/>
      <protection locked="0"/>
    </xf>
    <xf numFmtId="164" fontId="8" fillId="2" borderId="11" xfId="0" applyNumberFormat="1" applyFont="1" applyFill="1" applyBorder="1" applyAlignment="1" applyProtection="1">
      <alignment horizontal="center" vertical="center"/>
      <protection locked="0"/>
    </xf>
    <xf numFmtId="164" fontId="9" fillId="2" borderId="15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0" fontId="10" fillId="3" borderId="0" xfId="0" applyFont="1" applyFill="1" applyProtection="1">
      <protection locked="0"/>
    </xf>
    <xf numFmtId="164" fontId="0" fillId="3" borderId="0" xfId="0" applyNumberFormat="1" applyFill="1" applyProtection="1">
      <protection locked="0"/>
    </xf>
    <xf numFmtId="164" fontId="11" fillId="3" borderId="0" xfId="0" applyNumberFormat="1" applyFont="1" applyFill="1" applyProtection="1">
      <protection locked="0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164" fontId="14" fillId="5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164" fontId="3" fillId="4" borderId="6" xfId="0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16" xfId="0" applyNumberFormat="1" applyFont="1" applyBorder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hidden="1"/>
    </xf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164" fontId="1" fillId="0" borderId="8" xfId="0" applyNumberFormat="1" applyFont="1" applyBorder="1" applyAlignment="1" applyProtection="1">
      <alignment horizontal="center" vertical="center"/>
      <protection hidden="1"/>
    </xf>
    <xf numFmtId="164" fontId="8" fillId="2" borderId="9" xfId="0" applyNumberFormat="1" applyFont="1" applyFill="1" applyBorder="1" applyAlignment="1" applyProtection="1">
      <alignment horizontal="center" vertical="center"/>
      <protection hidden="1"/>
    </xf>
    <xf numFmtId="164" fontId="8" fillId="2" borderId="12" xfId="0" applyNumberFormat="1" applyFont="1" applyFill="1" applyBorder="1" applyAlignment="1" applyProtection="1">
      <alignment horizontal="center" vertical="center"/>
      <protection hidden="1"/>
    </xf>
    <xf numFmtId="164" fontId="3" fillId="4" borderId="6" xfId="0" applyNumberFormat="1" applyFont="1" applyFill="1" applyBorder="1" applyAlignment="1" applyProtection="1">
      <alignment horizontal="center" vertical="center"/>
      <protection hidden="1"/>
    </xf>
    <xf numFmtId="0" fontId="3" fillId="4" borderId="10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5" xfId="0" applyFont="1" applyFill="1" applyBorder="1" applyAlignment="1" applyProtection="1">
      <alignment horizontal="center" vertical="center" wrapText="1"/>
      <protection hidden="1"/>
    </xf>
    <xf numFmtId="0" fontId="3" fillId="4" borderId="9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right" vertical="center"/>
      <protection hidden="1"/>
    </xf>
    <xf numFmtId="164" fontId="3" fillId="4" borderId="17" xfId="0" applyNumberFormat="1" applyFont="1" applyFill="1" applyBorder="1" applyAlignment="1" applyProtection="1">
      <alignment horizontal="center" vertical="center"/>
      <protection hidden="1"/>
    </xf>
    <xf numFmtId="164" fontId="3" fillId="4" borderId="18" xfId="0" applyNumberFormat="1" applyFont="1" applyFill="1" applyBorder="1" applyAlignment="1" applyProtection="1">
      <alignment horizontal="center" vertical="center"/>
      <protection hidden="1"/>
    </xf>
    <xf numFmtId="164" fontId="3" fillId="4" borderId="19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5" borderId="0" xfId="0" applyNumberFormat="1" applyFill="1"/>
    <xf numFmtId="0" fontId="0" fillId="2" borderId="0" xfId="0" applyFill="1"/>
    <xf numFmtId="0" fontId="0" fillId="5" borderId="0" xfId="0" applyFill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792474</xdr:colOff>
      <xdr:row>1</xdr:row>
      <xdr:rowOff>22338</xdr:rowOff>
    </xdr:from>
    <xdr:to>
      <xdr:col>15</xdr:col>
      <xdr:colOff>500243</xdr:colOff>
      <xdr:row>5</xdr:row>
      <xdr:rowOff>7545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AFC2AF98-CCC1-4AAA-A4D6-6A28AD352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77260" y="203408"/>
          <a:ext cx="2033502" cy="1051143"/>
        </a:xfrm>
        <a:prstGeom prst="rect">
          <a:avLst/>
        </a:prstGeom>
      </xdr:spPr>
    </xdr:pic>
    <xdr:clientData/>
  </xdr:twoCellAnchor>
  <xdr:twoCellAnchor editAs="oneCell">
    <xdr:from>
      <xdr:col>0</xdr:col>
      <xdr:colOff>32335</xdr:colOff>
      <xdr:row>5</xdr:row>
      <xdr:rowOff>226337</xdr:rowOff>
    </xdr:from>
    <xdr:to>
      <xdr:col>0</xdr:col>
      <xdr:colOff>913968</xdr:colOff>
      <xdr:row>5</xdr:row>
      <xdr:rowOff>666076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FF813AA3-70B4-43CA-A096-696B0264C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35" y="1312753"/>
          <a:ext cx="879478" cy="4397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3"/>
  <sheetViews>
    <sheetView tabSelected="1" topLeftCell="A3" zoomScale="70" zoomScaleNormal="70" workbookViewId="0">
      <selection activeCell="J8" sqref="J8:J18"/>
    </sheetView>
  </sheetViews>
  <sheetFormatPr defaultColWidth="9" defaultRowHeight="14.4" x14ac:dyDescent="0.3"/>
  <cols>
    <col min="1" max="1" width="16.109375" style="16" customWidth="1"/>
    <col min="2" max="6" width="16.109375" style="17" customWidth="1"/>
    <col min="7" max="8" width="16.109375" style="17" hidden="1" customWidth="1"/>
    <col min="9" max="16" width="16.109375" style="17" customWidth="1"/>
    <col min="17" max="16384" width="9" style="17"/>
  </cols>
  <sheetData>
    <row r="2" spans="1:16" x14ac:dyDescent="0.3">
      <c r="D2" s="18"/>
      <c r="E2" s="18"/>
      <c r="F2" s="18"/>
      <c r="G2" s="18"/>
      <c r="H2" s="18"/>
    </row>
    <row r="3" spans="1:16" ht="27.45" customHeight="1" x14ac:dyDescent="0.3">
      <c r="A3" s="55" t="s">
        <v>28</v>
      </c>
      <c r="B3" s="55"/>
      <c r="C3" s="55"/>
      <c r="D3" s="55"/>
      <c r="E3" s="55"/>
      <c r="F3" s="55"/>
      <c r="G3" s="55"/>
      <c r="H3" s="55"/>
      <c r="I3" s="55"/>
      <c r="J3" s="55"/>
    </row>
    <row r="4" spans="1:16" ht="27.45" customHeight="1" x14ac:dyDescent="0.35">
      <c r="A4" s="1"/>
      <c r="B4" s="1"/>
      <c r="D4" s="19"/>
      <c r="E4" s="20"/>
      <c r="F4" s="20"/>
      <c r="G4" s="20"/>
      <c r="H4" s="20"/>
    </row>
    <row r="5" spans="1:16" ht="15" thickBot="1" x14ac:dyDescent="0.35"/>
    <row r="6" spans="1:16" s="25" customFormat="1" ht="64.5" customHeight="1" thickBot="1" x14ac:dyDescent="0.35">
      <c r="A6" s="42"/>
      <c r="B6" s="39" t="s">
        <v>14</v>
      </c>
      <c r="C6" s="39" t="s">
        <v>15</v>
      </c>
      <c r="D6" s="39" t="s">
        <v>16</v>
      </c>
      <c r="E6" s="39" t="s">
        <v>21</v>
      </c>
      <c r="F6" s="39" t="s">
        <v>17</v>
      </c>
      <c r="G6" s="39" t="s">
        <v>26</v>
      </c>
      <c r="H6" s="39" t="s">
        <v>27</v>
      </c>
      <c r="I6" s="39" t="s">
        <v>24</v>
      </c>
      <c r="J6" s="39" t="s">
        <v>18</v>
      </c>
      <c r="K6" s="39" t="s">
        <v>19</v>
      </c>
      <c r="L6" s="39" t="s">
        <v>20</v>
      </c>
      <c r="M6" s="39" t="s">
        <v>13</v>
      </c>
      <c r="N6" s="40" t="s">
        <v>22</v>
      </c>
      <c r="O6" s="40" t="s">
        <v>23</v>
      </c>
      <c r="P6" s="41" t="s">
        <v>12</v>
      </c>
    </row>
    <row r="7" spans="1:16" ht="22.2" customHeight="1" thickBot="1" x14ac:dyDescent="0.35">
      <c r="A7" s="43" t="s">
        <v>0</v>
      </c>
      <c r="B7" s="27">
        <v>20002.5</v>
      </c>
      <c r="C7" s="33">
        <f>IF($B7&lt;PARAMETRELER!$D$2,$B7*0.075,PARAMETRELER!$D$2*0.075)</f>
        <v>1500.1875</v>
      </c>
      <c r="D7" s="33">
        <f>IF(B7&lt;PARAMETRELER!$D$2,B7*0,PARAMETRELER!$D$2*0)</f>
        <v>0</v>
      </c>
      <c r="E7" s="33">
        <f t="shared" ref="E7" si="0">B7-C7-D7</f>
        <v>18502.3125</v>
      </c>
      <c r="F7" s="33" cm="1">
        <f t="array" ref="F7">SUMPRODUCT(--(SUM($E$7:E7)&gt;PARAMETRELER!$D$19:$D$22), (SUM($E$7:E7)-PARAMETRELER!$D$19:$D$22), {0.15;0.05;0.07;0.08})-SUM($F$6:F6)</f>
        <v>2775.3468749999997</v>
      </c>
      <c r="G7" s="34">
        <f>IF(B7=0,0,PARAMETRELER!$E$4)</f>
        <v>17002.125</v>
      </c>
      <c r="H7" s="34" cm="1">
        <f t="array" ref="H7">SUMPRODUCT(--(SUM(G$7:$G7)&gt;PARAMETRELER!$D$19:$D$22), (SUM(G$7:$G7)-PARAMETRELER!$D$19:$D$22), {0.15;0.05;0.07;0.08})-SUM(H$6:$H6)</f>
        <v>2550.3187499999999</v>
      </c>
      <c r="I7" s="33">
        <f>IF(F7-H7&lt;0,0,F7-H7)</f>
        <v>225.02812499999982</v>
      </c>
      <c r="J7" s="33">
        <f>E7</f>
        <v>18502.3125</v>
      </c>
      <c r="K7" s="33">
        <f>IF(B7-PARAMETRELER!$D$4&lt;0,0,B7-PARAMETRELER!$D$4)</f>
        <v>0</v>
      </c>
      <c r="L7" s="35">
        <f>K7*0.00759</f>
        <v>0</v>
      </c>
      <c r="M7" s="34">
        <f t="shared" ref="M7" si="1">B7-C7-D7-I7-L7</f>
        <v>18277.284374999999</v>
      </c>
      <c r="N7" s="36">
        <f>IF($B7&lt;PARAMETRELER!$D$2,$B7*0.225,PARAMETRELER!$D$2*0.225)</f>
        <v>4500.5625</v>
      </c>
      <c r="O7" s="37">
        <f>IF($B7&lt;PARAMETRELER!$D$2,$B7*0.02,PARAMETRELER!$D$2*0.02)</f>
        <v>400.05</v>
      </c>
      <c r="P7" s="46">
        <f t="shared" ref="P7:P18" si="2">B7+N7+O7</f>
        <v>24903.112499999999</v>
      </c>
    </row>
    <row r="8" spans="1:16" ht="22.2" customHeight="1" thickBot="1" x14ac:dyDescent="0.35">
      <c r="A8" s="43" t="s">
        <v>1</v>
      </c>
      <c r="B8" s="27">
        <v>20002.5</v>
      </c>
      <c r="C8" s="33">
        <f>IF($B8&lt;PARAMETRELER!$D$2,$B8*0.075,PARAMETRELER!$D$2*0.075)</f>
        <v>1500.1875</v>
      </c>
      <c r="D8" s="33">
        <f>IF(B8&lt;PARAMETRELER!$D$2,B8*0,PARAMETRELER!$D$2*0)</f>
        <v>0</v>
      </c>
      <c r="E8" s="33">
        <f t="shared" ref="E8:E18" si="3">B8-C8-D8</f>
        <v>18502.3125</v>
      </c>
      <c r="F8" s="33" cm="1">
        <f t="array" ref="F8">SUMPRODUCT(--(SUM($E$7:E8)&gt;PARAMETRELER!$D$19:$D$22), (SUM($E$7:E8)-PARAMETRELER!$D$19:$D$22), {0.15;0.05;0.07;0.08})-SUM($F$6:F7)</f>
        <v>2775.3468749999997</v>
      </c>
      <c r="G8" s="34">
        <f>IF(B8=0,0,PARAMETRELER!$E$4)</f>
        <v>17002.125</v>
      </c>
      <c r="H8" s="34" cm="1">
        <f t="array" ref="H8">SUMPRODUCT(--(SUM(G$7:$G8)&gt;PARAMETRELER!$D$19:$D$22), (SUM(G$7:$G8)-PARAMETRELER!$D$19:$D$22), {0.15;0.05;0.07;0.08})-SUM(H$6:$H7)</f>
        <v>2550.3187499999999</v>
      </c>
      <c r="I8" s="33">
        <f t="shared" ref="I8:I18" si="4">IF(F8-H8&lt;0,0,F8-H8)</f>
        <v>225.02812499999982</v>
      </c>
      <c r="J8" s="33">
        <f>E8+J7</f>
        <v>37004.625</v>
      </c>
      <c r="K8" s="33">
        <f>IF(B8-PARAMETRELER!$D$4&lt;0,0,B8-PARAMETRELER!$D$4)</f>
        <v>0</v>
      </c>
      <c r="L8" s="35">
        <f t="shared" ref="L8:L18" si="5">K8*0.00759</f>
        <v>0</v>
      </c>
      <c r="M8" s="34">
        <f t="shared" ref="M8:M18" si="6">B8-C8-D8-I8-L8</f>
        <v>18277.284374999999</v>
      </c>
      <c r="N8" s="36">
        <f>IF($B8&lt;PARAMETRELER!$D$2,$B8*0.225,PARAMETRELER!$D$2*0.225)</f>
        <v>4500.5625</v>
      </c>
      <c r="O8" s="37">
        <f>IF($B8&lt;PARAMETRELER!$D$2,$B8*0.02,PARAMETRELER!$D$2*0.02)</f>
        <v>400.05</v>
      </c>
      <c r="P8" s="47">
        <f t="shared" si="2"/>
        <v>24903.112499999999</v>
      </c>
    </row>
    <row r="9" spans="1:16" ht="22.2" customHeight="1" thickBot="1" x14ac:dyDescent="0.35">
      <c r="A9" s="43" t="s">
        <v>2</v>
      </c>
      <c r="B9" s="27">
        <v>20002.5</v>
      </c>
      <c r="C9" s="33">
        <f>IF($B9&lt;PARAMETRELER!$D$2,$B9*0.075,PARAMETRELER!$D$2*0.075)</f>
        <v>1500.1875</v>
      </c>
      <c r="D9" s="33">
        <f>IF(B9&lt;PARAMETRELER!$D$2,B9*0,PARAMETRELER!$D$2*0)</f>
        <v>0</v>
      </c>
      <c r="E9" s="33">
        <f t="shared" si="3"/>
        <v>18502.3125</v>
      </c>
      <c r="F9" s="33" cm="1">
        <f t="array" ref="F9">SUMPRODUCT(--(SUM($E$7:E9)&gt;PARAMETRELER!$D$19:$D$22), (SUM($E$7:E9)-PARAMETRELER!$D$19:$D$22), {0.15;0.05;0.07;0.08})-SUM($F$6:F8)</f>
        <v>2775.3468750000002</v>
      </c>
      <c r="G9" s="34">
        <f>IF(B9=0,0,PARAMETRELER!$E$4)</f>
        <v>17002.125</v>
      </c>
      <c r="H9" s="34" cm="1">
        <f t="array" ref="H9">SUMPRODUCT(--(SUM(G$7:$G9)&gt;PARAMETRELER!$D$19:$D$22), (SUM(G$7:$G9)-PARAMETRELER!$D$19:$D$22), {0.15;0.05;0.07;0.08})-SUM(H$6:$H8)</f>
        <v>2550.3187499999995</v>
      </c>
      <c r="I9" s="33">
        <f t="shared" si="4"/>
        <v>225.02812500000073</v>
      </c>
      <c r="J9" s="33">
        <f t="shared" ref="J9:J18" si="7">E9+J8</f>
        <v>55506.9375</v>
      </c>
      <c r="K9" s="33">
        <f>IF(B9-PARAMETRELER!$D$4&lt;0,0,B9-PARAMETRELER!$D$4)</f>
        <v>0</v>
      </c>
      <c r="L9" s="35">
        <f t="shared" si="5"/>
        <v>0</v>
      </c>
      <c r="M9" s="34">
        <f t="shared" si="6"/>
        <v>18277.284374999999</v>
      </c>
      <c r="N9" s="36">
        <f>IF($B9&lt;PARAMETRELER!$D$2,$B9*0.225,PARAMETRELER!$D$2*0.225)</f>
        <v>4500.5625</v>
      </c>
      <c r="O9" s="37">
        <f>IF($B9&lt;PARAMETRELER!$D$2,$B9*0.02,PARAMETRELER!$D$2*0.02)</f>
        <v>400.05</v>
      </c>
      <c r="P9" s="47">
        <f t="shared" si="2"/>
        <v>24903.112499999999</v>
      </c>
    </row>
    <row r="10" spans="1:16" ht="22.2" customHeight="1" thickBot="1" x14ac:dyDescent="0.35">
      <c r="A10" s="43" t="s">
        <v>3</v>
      </c>
      <c r="B10" s="27">
        <v>20002.5</v>
      </c>
      <c r="C10" s="33">
        <f>IF($B10&lt;PARAMETRELER!$D$2,$B10*0.075,PARAMETRELER!$D$2*0.075)</f>
        <v>1500.1875</v>
      </c>
      <c r="D10" s="33">
        <f>IF(B10&lt;PARAMETRELER!$D$2,B10*0,PARAMETRELER!$D$2*0)</f>
        <v>0</v>
      </c>
      <c r="E10" s="33">
        <f t="shared" si="3"/>
        <v>18502.3125</v>
      </c>
      <c r="F10" s="33" cm="1">
        <f t="array" ref="F10">SUMPRODUCT(--(SUM($E$7:E10)&gt;PARAMETRELER!$D$19:$D$22), (SUM($E$7:E10)-PARAMETRELER!$D$19:$D$22), {0.15;0.05;0.07;0.08})-SUM($F$6:F9)</f>
        <v>2775.3468749999993</v>
      </c>
      <c r="G10" s="34">
        <f>IF(B10=0,0,PARAMETRELER!$E$4)</f>
        <v>17002.125</v>
      </c>
      <c r="H10" s="34" cm="1">
        <f t="array" ref="H10">SUMPRODUCT(--(SUM(G$7:$G10)&gt;PARAMETRELER!$D$19:$D$22), (SUM(G$7:$G10)-PARAMETRELER!$D$19:$D$22), {0.15;0.05;0.07;0.08})-SUM(H$6:$H9)</f>
        <v>2550.3187500000004</v>
      </c>
      <c r="I10" s="33">
        <f t="shared" si="4"/>
        <v>225.02812499999891</v>
      </c>
      <c r="J10" s="33">
        <f t="shared" si="7"/>
        <v>74009.25</v>
      </c>
      <c r="K10" s="33">
        <f>IF(B10-PARAMETRELER!$D$4&lt;0,0,B10-PARAMETRELER!$D$4)</f>
        <v>0</v>
      </c>
      <c r="L10" s="35">
        <f t="shared" si="5"/>
        <v>0</v>
      </c>
      <c r="M10" s="34">
        <f t="shared" si="6"/>
        <v>18277.284375000003</v>
      </c>
      <c r="N10" s="36">
        <f>IF($B10&lt;PARAMETRELER!$D$2,$B10*0.225,PARAMETRELER!$D$2*0.225)</f>
        <v>4500.5625</v>
      </c>
      <c r="O10" s="37">
        <f>IF($B10&lt;PARAMETRELER!$D$2,$B10*0.02,PARAMETRELER!$D$2*0.02)</f>
        <v>400.05</v>
      </c>
      <c r="P10" s="47">
        <f t="shared" si="2"/>
        <v>24903.112499999999</v>
      </c>
    </row>
    <row r="11" spans="1:16" ht="22.2" customHeight="1" thickBot="1" x14ac:dyDescent="0.35">
      <c r="A11" s="43" t="s">
        <v>4</v>
      </c>
      <c r="B11" s="27">
        <v>20002.5</v>
      </c>
      <c r="C11" s="33">
        <f>IF($B11&lt;PARAMETRELER!$D$2,$B11*0.075,PARAMETRELER!$D$2*0.075)</f>
        <v>1500.1875</v>
      </c>
      <c r="D11" s="33">
        <f>IF(B11&lt;PARAMETRELER!$D$2,B11*0,PARAMETRELER!$D$2*0)</f>
        <v>0</v>
      </c>
      <c r="E11" s="33">
        <f t="shared" si="3"/>
        <v>18502.3125</v>
      </c>
      <c r="F11" s="33" cm="1">
        <f t="array" ref="F11">SUMPRODUCT(--(SUM($E$7:E11)&gt;PARAMETRELER!$D$19:$D$22), (SUM($E$7:E11)-PARAMETRELER!$D$19:$D$22), {0.15;0.05;0.07;0.08})-SUM($F$6:F10)</f>
        <v>2775.3468750000011</v>
      </c>
      <c r="G11" s="34">
        <f>IF(B11=0,0,PARAMETRELER!$E$4)</f>
        <v>17002.125</v>
      </c>
      <c r="H11" s="34" cm="1">
        <f t="array" ref="H11">SUMPRODUCT(--(SUM(G$7:$G11)&gt;PARAMETRELER!$D$19:$D$22), (SUM(G$7:$G11)-PARAMETRELER!$D$19:$D$22), {0.15;0.05;0.07;0.08})-SUM(H$6:$H10)</f>
        <v>2550.3187500000004</v>
      </c>
      <c r="I11" s="33">
        <f t="shared" si="4"/>
        <v>225.02812500000073</v>
      </c>
      <c r="J11" s="33">
        <f t="shared" si="7"/>
        <v>92511.5625</v>
      </c>
      <c r="K11" s="33">
        <f>IF(B11-PARAMETRELER!$D$4&lt;0,0,B11-PARAMETRELER!$D$4)</f>
        <v>0</v>
      </c>
      <c r="L11" s="35">
        <f t="shared" si="5"/>
        <v>0</v>
      </c>
      <c r="M11" s="34">
        <f t="shared" si="6"/>
        <v>18277.284374999999</v>
      </c>
      <c r="N11" s="36">
        <f>IF($B11&lt;PARAMETRELER!$D$2,$B11*0.225,PARAMETRELER!$D$2*0.225)</f>
        <v>4500.5625</v>
      </c>
      <c r="O11" s="37">
        <f>IF($B11&lt;PARAMETRELER!$D$2,$B11*0.02,PARAMETRELER!$D$2*0.02)</f>
        <v>400.05</v>
      </c>
      <c r="P11" s="47">
        <f t="shared" si="2"/>
        <v>24903.112499999999</v>
      </c>
    </row>
    <row r="12" spans="1:16" ht="22.2" customHeight="1" thickBot="1" x14ac:dyDescent="0.35">
      <c r="A12" s="43" t="s">
        <v>5</v>
      </c>
      <c r="B12" s="27">
        <v>20002.5</v>
      </c>
      <c r="C12" s="33">
        <f>IF($B12&lt;PARAMETRELER!$D$2,$B12*0.075,PARAMETRELER!$D$2*0.075)</f>
        <v>1500.1875</v>
      </c>
      <c r="D12" s="33">
        <f>IF(B12&lt;PARAMETRELER!$D$2,B12*0,PARAMETRELER!$D$2*0)</f>
        <v>0</v>
      </c>
      <c r="E12" s="33">
        <f t="shared" si="3"/>
        <v>18502.3125</v>
      </c>
      <c r="F12" s="33" cm="1">
        <f t="array" ref="F12">SUMPRODUCT(--(SUM($E$7:E12)&gt;PARAMETRELER!$D$19:$D$22), (SUM($E$7:E12)-PARAMETRELER!$D$19:$D$22), {0.15;0.05;0.07;0.08})-SUM($F$6:F11)</f>
        <v>2826.0406249999978</v>
      </c>
      <c r="G12" s="34">
        <f>IF(B12=0,0,PARAMETRELER!$E$4)</f>
        <v>17002.125</v>
      </c>
      <c r="H12" s="34" cm="1">
        <f t="array" ref="H12">SUMPRODUCT(--(SUM(G$7:$G12)&gt;PARAMETRELER!$D$19:$D$22), (SUM(G$7:$G12)-PARAMETRELER!$D$19:$D$22), {0.15;0.05;0.07;0.08})-SUM(H$6:$H11)</f>
        <v>2550.3187499999985</v>
      </c>
      <c r="I12" s="33">
        <f t="shared" si="4"/>
        <v>275.72187499999927</v>
      </c>
      <c r="J12" s="33">
        <f t="shared" si="7"/>
        <v>111013.875</v>
      </c>
      <c r="K12" s="33">
        <f>IF(B12-PARAMETRELER!$D$4&lt;0,0,B12-PARAMETRELER!$D$4)</f>
        <v>0</v>
      </c>
      <c r="L12" s="35">
        <f t="shared" si="5"/>
        <v>0</v>
      </c>
      <c r="M12" s="34">
        <f t="shared" si="6"/>
        <v>18226.590625000001</v>
      </c>
      <c r="N12" s="36">
        <f>IF($B12&lt;PARAMETRELER!$D$2,$B12*0.225,PARAMETRELER!$D$2*0.225)</f>
        <v>4500.5625</v>
      </c>
      <c r="O12" s="37">
        <f>IF($B12&lt;PARAMETRELER!$D$2,$B12*0.02,PARAMETRELER!$D$2*0.02)</f>
        <v>400.05</v>
      </c>
      <c r="P12" s="47">
        <f t="shared" si="2"/>
        <v>24903.112499999999</v>
      </c>
    </row>
    <row r="13" spans="1:16" ht="22.2" customHeight="1" thickBot="1" x14ac:dyDescent="0.35">
      <c r="A13" s="43" t="s">
        <v>6</v>
      </c>
      <c r="B13" s="27">
        <v>20002.5</v>
      </c>
      <c r="C13" s="33">
        <f>IF($B13&lt;PARAMETRELER!$D$2,$B13*0.075,PARAMETRELER!$D$2*0.075)</f>
        <v>1500.1875</v>
      </c>
      <c r="D13" s="33">
        <f>IF(B13&lt;PARAMETRELER!$D$2,B13*0,PARAMETRELER!$D$2*0)</f>
        <v>0</v>
      </c>
      <c r="E13" s="33">
        <f t="shared" si="3"/>
        <v>18502.3125</v>
      </c>
      <c r="F13" s="33" cm="1">
        <f t="array" ref="F13">SUMPRODUCT(--(SUM($E$7:E13)&gt;PARAMETRELER!$D$19:$D$22), (SUM($E$7:E13)-PARAMETRELER!$D$19:$D$22), {0.15;0.05;0.07;0.08})-SUM($F$6:F12)</f>
        <v>3700.4625000000015</v>
      </c>
      <c r="G13" s="34">
        <f>IF(B13=0,0,PARAMETRELER!$E$4)</f>
        <v>17002.125</v>
      </c>
      <c r="H13" s="34" cm="1">
        <f t="array" ref="H13">SUMPRODUCT(--(SUM(G$7:$G13)&gt;PARAMETRELER!$D$19:$D$22), (SUM(G$7:$G13)-PARAMETRELER!$D$19:$D$22), {0.15;0.05;0.07;0.08})-SUM(H$6:$H12)</f>
        <v>3001.0625000000036</v>
      </c>
      <c r="I13" s="33">
        <f t="shared" si="4"/>
        <v>699.39999999999782</v>
      </c>
      <c r="J13" s="33">
        <f t="shared" si="7"/>
        <v>129516.1875</v>
      </c>
      <c r="K13" s="33">
        <f>IF(B13-PARAMETRELER!$D$4&lt;0,0,B13-PARAMETRELER!$D$4)</f>
        <v>0</v>
      </c>
      <c r="L13" s="35">
        <f t="shared" si="5"/>
        <v>0</v>
      </c>
      <c r="M13" s="34">
        <f t="shared" si="6"/>
        <v>17802.912500000002</v>
      </c>
      <c r="N13" s="36">
        <f>IF($B13&lt;PARAMETRELER!$D$2,$B13*0.225,PARAMETRELER!$D$2*0.225)</f>
        <v>4500.5625</v>
      </c>
      <c r="O13" s="37">
        <f>IF($B13&lt;PARAMETRELER!$D$2,$B13*0.02,PARAMETRELER!$D$2*0.02)</f>
        <v>400.05</v>
      </c>
      <c r="P13" s="47">
        <f t="shared" si="2"/>
        <v>24903.112499999999</v>
      </c>
    </row>
    <row r="14" spans="1:16" ht="22.2" customHeight="1" thickBot="1" x14ac:dyDescent="0.35">
      <c r="A14" s="43" t="s">
        <v>7</v>
      </c>
      <c r="B14" s="27">
        <v>20002.5</v>
      </c>
      <c r="C14" s="33">
        <f>IF($B14&lt;PARAMETRELER!$D$2,$B14*0.075,PARAMETRELER!$D$2*0.075)</f>
        <v>1500.1875</v>
      </c>
      <c r="D14" s="33">
        <f>IF(B14&lt;PARAMETRELER!$D$2,B14*0,PARAMETRELER!$D$2*0)</f>
        <v>0</v>
      </c>
      <c r="E14" s="33">
        <f t="shared" si="3"/>
        <v>18502.3125</v>
      </c>
      <c r="F14" s="33" cm="1">
        <f t="array" ref="F14">SUMPRODUCT(--(SUM($E$7:E14)&gt;PARAMETRELER!$D$19:$D$22), (SUM($E$7:E14)-PARAMETRELER!$D$19:$D$22), {0.15;0.05;0.07;0.08})-SUM($F$6:F13)</f>
        <v>3700.4624999999978</v>
      </c>
      <c r="G14" s="34">
        <f>IF(B14=0,0,PARAMETRELER!$E$4)</f>
        <v>17002.125</v>
      </c>
      <c r="H14" s="34" cm="1">
        <f t="array" ref="H14">SUMPRODUCT(--(SUM(G$7:$G14)&gt;PARAMETRELER!$D$19:$D$22), (SUM(G$7:$G14)-PARAMETRELER!$D$19:$D$22), {0.15;0.05;0.07;0.08})-SUM(H$6:$H13)</f>
        <v>3400.4249999999956</v>
      </c>
      <c r="I14" s="33">
        <f t="shared" si="4"/>
        <v>300.03750000000218</v>
      </c>
      <c r="J14" s="33">
        <f t="shared" si="7"/>
        <v>148018.5</v>
      </c>
      <c r="K14" s="33">
        <f>IF(B14-PARAMETRELER!$D$4&lt;0,0,B14-PARAMETRELER!$D$4)</f>
        <v>0</v>
      </c>
      <c r="L14" s="35">
        <f t="shared" si="5"/>
        <v>0</v>
      </c>
      <c r="M14" s="34">
        <f t="shared" si="6"/>
        <v>18202.274999999998</v>
      </c>
      <c r="N14" s="36">
        <f>IF($B14&lt;PARAMETRELER!$D$2,$B14*0.225,PARAMETRELER!$D$2*0.225)</f>
        <v>4500.5625</v>
      </c>
      <c r="O14" s="37">
        <f>IF($B14&lt;PARAMETRELER!$D$2,$B14*0.02,PARAMETRELER!$D$2*0.02)</f>
        <v>400.05</v>
      </c>
      <c r="P14" s="47">
        <f t="shared" si="2"/>
        <v>24903.112499999999</v>
      </c>
    </row>
    <row r="15" spans="1:16" ht="22.2" customHeight="1" thickBot="1" x14ac:dyDescent="0.35">
      <c r="A15" s="43" t="s">
        <v>8</v>
      </c>
      <c r="B15" s="27">
        <v>20002.5</v>
      </c>
      <c r="C15" s="33">
        <f>IF($B15&lt;PARAMETRELER!$D$2,$B15*0.075,PARAMETRELER!$D$2*0.075)</f>
        <v>1500.1875</v>
      </c>
      <c r="D15" s="33">
        <f>IF(B15&lt;PARAMETRELER!$D$2,B15*0,PARAMETRELER!$D$2*0)</f>
        <v>0</v>
      </c>
      <c r="E15" s="33">
        <f t="shared" si="3"/>
        <v>18502.3125</v>
      </c>
      <c r="F15" s="33" cm="1">
        <f t="array" ref="F15">SUMPRODUCT(--(SUM($E$7:E15)&gt;PARAMETRELER!$D$19:$D$22), (SUM($E$7:E15)-PARAMETRELER!$D$19:$D$22), {0.15;0.05;0.07;0.08})-SUM($F$6:F14)</f>
        <v>3700.4625000000051</v>
      </c>
      <c r="G15" s="34">
        <f>IF(B15=0,0,PARAMETRELER!$E$4)</f>
        <v>17002.125</v>
      </c>
      <c r="H15" s="34" cm="1">
        <f t="array" ref="H15">SUMPRODUCT(--(SUM(G$7:$G15)&gt;PARAMETRELER!$D$19:$D$22), (SUM(G$7:$G15)-PARAMETRELER!$D$19:$D$22), {0.15;0.05;0.07;0.08})-SUM(H$6:$H14)</f>
        <v>3400.4249999999993</v>
      </c>
      <c r="I15" s="33">
        <f t="shared" si="4"/>
        <v>300.03750000000582</v>
      </c>
      <c r="J15" s="33">
        <f t="shared" si="7"/>
        <v>166520.8125</v>
      </c>
      <c r="K15" s="33">
        <f>IF(B15-PARAMETRELER!$D$4&lt;0,0,B15-PARAMETRELER!$D$4)</f>
        <v>0</v>
      </c>
      <c r="L15" s="35">
        <f t="shared" si="5"/>
        <v>0</v>
      </c>
      <c r="M15" s="34">
        <f t="shared" si="6"/>
        <v>18202.274999999994</v>
      </c>
      <c r="N15" s="36">
        <f>IF($B15&lt;PARAMETRELER!$D$2,$B15*0.225,PARAMETRELER!$D$2*0.225)</f>
        <v>4500.5625</v>
      </c>
      <c r="O15" s="37">
        <f>IF($B15&lt;PARAMETRELER!$D$2,$B15*0.02,PARAMETRELER!$D$2*0.02)</f>
        <v>400.05</v>
      </c>
      <c r="P15" s="47">
        <f t="shared" si="2"/>
        <v>24903.112499999999</v>
      </c>
    </row>
    <row r="16" spans="1:16" ht="22.2" customHeight="1" thickBot="1" x14ac:dyDescent="0.35">
      <c r="A16" s="43" t="s">
        <v>9</v>
      </c>
      <c r="B16" s="27">
        <v>20002.5</v>
      </c>
      <c r="C16" s="33">
        <f>IF($B16&lt;PARAMETRELER!$D$2,$B16*0.075,PARAMETRELER!$D$2*0.075)</f>
        <v>1500.1875</v>
      </c>
      <c r="D16" s="33">
        <f>IF(B16&lt;PARAMETRELER!$D$2,B16*0,PARAMETRELER!$D$2*0)</f>
        <v>0</v>
      </c>
      <c r="E16" s="33">
        <f t="shared" si="3"/>
        <v>18502.3125</v>
      </c>
      <c r="F16" s="33" cm="1">
        <f t="array" ref="F16">SUMPRODUCT(--(SUM($E$7:E16)&gt;PARAMETRELER!$D$19:$D$22), (SUM($E$7:E16)-PARAMETRELER!$D$19:$D$22), {0.15;0.05;0.07;0.08})-SUM($F$6:F15)</f>
        <v>3700.4624999999978</v>
      </c>
      <c r="G16" s="34">
        <f>IF(B16=0,0,PARAMETRELER!$E$4)</f>
        <v>17002.125</v>
      </c>
      <c r="H16" s="34" cm="1">
        <f t="array" ref="H16">SUMPRODUCT(--(SUM(G$7:$G16)&gt;PARAMETRELER!$D$19:$D$22), (SUM(G$7:$G16)-PARAMETRELER!$D$19:$D$22), {0.15;0.05;0.07;0.08})-SUM(H$6:$H15)</f>
        <v>3400.4250000000029</v>
      </c>
      <c r="I16" s="33">
        <f t="shared" si="4"/>
        <v>300.03749999999491</v>
      </c>
      <c r="J16" s="33">
        <f t="shared" si="7"/>
        <v>185023.125</v>
      </c>
      <c r="K16" s="33">
        <f>IF(B16-PARAMETRELER!$D$4&lt;0,0,B16-PARAMETRELER!$D$4)</f>
        <v>0</v>
      </c>
      <c r="L16" s="35">
        <f t="shared" si="5"/>
        <v>0</v>
      </c>
      <c r="M16" s="34">
        <f t="shared" si="6"/>
        <v>18202.275000000005</v>
      </c>
      <c r="N16" s="36">
        <f>IF($B16&lt;PARAMETRELER!$D$2,$B16*0.225,PARAMETRELER!$D$2*0.225)</f>
        <v>4500.5625</v>
      </c>
      <c r="O16" s="37">
        <f>IF($B16&lt;PARAMETRELER!$D$2,$B16*0.02,PARAMETRELER!$D$2*0.02)</f>
        <v>400.05</v>
      </c>
      <c r="P16" s="47">
        <f t="shared" si="2"/>
        <v>24903.112499999999</v>
      </c>
    </row>
    <row r="17" spans="1:16" ht="22.2" customHeight="1" thickBot="1" x14ac:dyDescent="0.35">
      <c r="A17" s="43" t="s">
        <v>10</v>
      </c>
      <c r="B17" s="27">
        <v>20002.5</v>
      </c>
      <c r="C17" s="33">
        <f>IF($B17&lt;PARAMETRELER!$D$2,$B17*0.075,PARAMETRELER!$D$2*0.075)</f>
        <v>1500.1875</v>
      </c>
      <c r="D17" s="33">
        <f>IF(B17&lt;PARAMETRELER!$D$2,B17*0,PARAMETRELER!$D$2*0)</f>
        <v>0</v>
      </c>
      <c r="E17" s="33">
        <f t="shared" si="3"/>
        <v>18502.3125</v>
      </c>
      <c r="F17" s="33" cm="1">
        <f t="array" ref="F17">SUMPRODUCT(--(SUM($E$7:E17)&gt;PARAMETRELER!$D$19:$D$22), (SUM($E$7:E17)-PARAMETRELER!$D$19:$D$22), {0.15;0.05;0.07;0.08})-SUM($F$6:F16)</f>
        <v>3700.4625000000015</v>
      </c>
      <c r="G17" s="34">
        <f>IF(B17=0,0,PARAMETRELER!$E$4)</f>
        <v>17002.125</v>
      </c>
      <c r="H17" s="34" cm="1">
        <f t="array" ref="H17">SUMPRODUCT(--(SUM(G$7:$G17)&gt;PARAMETRELER!$D$19:$D$22), (SUM(G$7:$G17)-PARAMETRELER!$D$19:$D$22), {0.15;0.05;0.07;0.08})-SUM(H$6:$H16)</f>
        <v>3400.4249999999993</v>
      </c>
      <c r="I17" s="33">
        <f t="shared" si="4"/>
        <v>300.03750000000218</v>
      </c>
      <c r="J17" s="33">
        <f t="shared" si="7"/>
        <v>203525.4375</v>
      </c>
      <c r="K17" s="33">
        <f>IF(B17-PARAMETRELER!$D$4&lt;0,0,B17-PARAMETRELER!$D$4)</f>
        <v>0</v>
      </c>
      <c r="L17" s="35">
        <f t="shared" si="5"/>
        <v>0</v>
      </c>
      <c r="M17" s="34">
        <f t="shared" si="6"/>
        <v>18202.274999999998</v>
      </c>
      <c r="N17" s="36">
        <f>IF($B17&lt;PARAMETRELER!$D$2,$B17*0.225,PARAMETRELER!$D$2*0.225)</f>
        <v>4500.5625</v>
      </c>
      <c r="O17" s="37">
        <f>IF($B17&lt;PARAMETRELER!$D$2,$B17*0.02,PARAMETRELER!$D$2*0.02)</f>
        <v>400.05</v>
      </c>
      <c r="P17" s="47">
        <f t="shared" si="2"/>
        <v>24903.112499999999</v>
      </c>
    </row>
    <row r="18" spans="1:16" ht="22.2" customHeight="1" thickBot="1" x14ac:dyDescent="0.35">
      <c r="A18" s="44" t="s">
        <v>11</v>
      </c>
      <c r="B18" s="27">
        <v>20002.5</v>
      </c>
      <c r="C18" s="33">
        <f>IF($B18&lt;PARAMETRELER!$D$2,$B18*0.075,PARAMETRELER!$D$2*0.075)</f>
        <v>1500.1875</v>
      </c>
      <c r="D18" s="33">
        <f>IF(B18&lt;PARAMETRELER!$D$2,B18*0,PARAMETRELER!$D$2*0)</f>
        <v>0</v>
      </c>
      <c r="E18" s="33">
        <f t="shared" si="3"/>
        <v>18502.3125</v>
      </c>
      <c r="F18" s="33" cm="1">
        <f t="array" ref="F18">SUMPRODUCT(--(SUM($E$7:E18)&gt;PARAMETRELER!$D$19:$D$22), (SUM($E$7:E18)-PARAMETRELER!$D$19:$D$22), {0.15;0.05;0.07;0.08})-SUM($F$6:F17)</f>
        <v>3700.4625000000015</v>
      </c>
      <c r="G18" s="34">
        <f>IF(B18=0,0,PARAMETRELER!$E$4)</f>
        <v>17002.125</v>
      </c>
      <c r="H18" s="34" cm="1">
        <f t="array" ref="H18">SUMPRODUCT(--(SUM(G$7:$G18)&gt;PARAMETRELER!$D$19:$D$22), (SUM(G$7:$G18)-PARAMETRELER!$D$19:$D$22), {0.15;0.05;0.07;0.08})-SUM(H$6:$H17)</f>
        <v>3400.4249999999993</v>
      </c>
      <c r="I18" s="33">
        <f t="shared" si="4"/>
        <v>300.03750000000218</v>
      </c>
      <c r="J18" s="33">
        <f t="shared" si="7"/>
        <v>222027.75</v>
      </c>
      <c r="K18" s="33">
        <f>IF(B18-PARAMETRELER!$D$4&lt;0,0,B18-PARAMETRELER!$D$4)</f>
        <v>0</v>
      </c>
      <c r="L18" s="35">
        <f t="shared" si="5"/>
        <v>0</v>
      </c>
      <c r="M18" s="34">
        <f t="shared" si="6"/>
        <v>18202.274999999998</v>
      </c>
      <c r="N18" s="36">
        <f>IF($B18&lt;PARAMETRELER!$D$2,$B18*0.225,PARAMETRELER!$D$2*0.225)</f>
        <v>4500.5625</v>
      </c>
      <c r="O18" s="37">
        <f>IF($B18&lt;PARAMETRELER!$D$2,$B18*0.02,PARAMETRELER!$D$2*0.02)</f>
        <v>400.05</v>
      </c>
      <c r="P18" s="48">
        <f t="shared" si="2"/>
        <v>24903.112499999999</v>
      </c>
    </row>
    <row r="19" spans="1:16" ht="28.2" customHeight="1" thickBot="1" x14ac:dyDescent="0.35">
      <c r="A19" s="45" t="s">
        <v>25</v>
      </c>
      <c r="B19" s="38">
        <f t="shared" ref="B19:P19" si="8">SUM(B7:B18)</f>
        <v>240030</v>
      </c>
      <c r="C19" s="38">
        <f t="shared" si="8"/>
        <v>18002.25</v>
      </c>
      <c r="D19" s="38">
        <f t="shared" si="8"/>
        <v>0</v>
      </c>
      <c r="E19" s="38">
        <f t="shared" si="8"/>
        <v>222027.75</v>
      </c>
      <c r="F19" s="38">
        <f>SUM(F7:F18)</f>
        <v>38905.550000000003</v>
      </c>
      <c r="G19" s="38"/>
      <c r="H19" s="38"/>
      <c r="I19" s="38">
        <f t="shared" si="8"/>
        <v>3600.4500000000044</v>
      </c>
      <c r="J19" s="38"/>
      <c r="K19" s="38">
        <f t="shared" si="8"/>
        <v>0</v>
      </c>
      <c r="L19" s="38">
        <f t="shared" si="8"/>
        <v>0</v>
      </c>
      <c r="M19" s="38">
        <f>SUM(M7:M18)</f>
        <v>218427.3</v>
      </c>
      <c r="N19" s="38">
        <f t="shared" si="8"/>
        <v>54006.75</v>
      </c>
      <c r="O19" s="38">
        <f t="shared" si="8"/>
        <v>4800.6000000000013</v>
      </c>
      <c r="P19" s="38">
        <f t="shared" si="8"/>
        <v>298837.34999999992</v>
      </c>
    </row>
    <row r="30" spans="1:16" s="25" customFormat="1" ht="64.5" hidden="1" customHeight="1" thickBot="1" x14ac:dyDescent="0.35">
      <c r="A30" s="21"/>
      <c r="B30" s="22" t="s">
        <v>14</v>
      </c>
      <c r="C30" s="22" t="s">
        <v>15</v>
      </c>
      <c r="D30" s="22" t="s">
        <v>16</v>
      </c>
      <c r="E30" s="22" t="s">
        <v>21</v>
      </c>
      <c r="F30" s="22"/>
      <c r="G30" s="22"/>
      <c r="H30" s="22"/>
      <c r="I30" s="22" t="s">
        <v>24</v>
      </c>
      <c r="J30" s="22" t="s">
        <v>18</v>
      </c>
      <c r="K30" s="22" t="s">
        <v>19</v>
      </c>
      <c r="L30" s="22" t="s">
        <v>20</v>
      </c>
      <c r="M30" s="22" t="s">
        <v>13</v>
      </c>
      <c r="N30" s="23" t="s">
        <v>22</v>
      </c>
      <c r="O30" s="23" t="s">
        <v>23</v>
      </c>
      <c r="P30" s="24" t="s">
        <v>12</v>
      </c>
    </row>
    <row r="31" spans="1:16" ht="22.2" hidden="1" customHeight="1" x14ac:dyDescent="0.3">
      <c r="A31" s="26" t="s">
        <v>0</v>
      </c>
      <c r="B31" s="30" t="e">
        <f>#REF!</f>
        <v>#REF!</v>
      </c>
      <c r="C31" s="2" t="e">
        <f>IF($B31&lt;37530,$B31*0.14,37530*0.14)</f>
        <v>#REF!</v>
      </c>
      <c r="D31" s="2" t="e">
        <f t="shared" ref="D31:D42" si="9">IF(B31&lt;37530,B31*0.01,37530*0.01)</f>
        <v>#REF!</v>
      </c>
      <c r="E31" s="2" t="e">
        <f t="shared" ref="E31:E42" si="10">B31-C31-D31</f>
        <v>#REF!</v>
      </c>
      <c r="F31" s="2"/>
      <c r="G31" s="2"/>
      <c r="H31" s="2"/>
      <c r="I31" s="2" t="e">
        <f>IF(#REF!-#REF!&lt;0,0,#REF!-#REF!)</f>
        <v>#REF!</v>
      </c>
      <c r="J31" s="2" t="e">
        <f>E31</f>
        <v>#REF!</v>
      </c>
      <c r="K31" s="2" t="e">
        <f t="shared" ref="K31:K36" si="11">IF(B31-5004&lt;0,0,B31-5004)</f>
        <v>#REF!</v>
      </c>
      <c r="L31" s="4" t="e">
        <f>K31*0.00759</f>
        <v>#REF!</v>
      </c>
      <c r="M31" s="3" t="e">
        <f t="shared" ref="M31:M42" si="12">B31-C31-D31-I31-L31</f>
        <v>#REF!</v>
      </c>
      <c r="N31" s="5" t="e">
        <f>IF($B31&lt;37530,$B31*0.205,37530*0.205)</f>
        <v>#REF!</v>
      </c>
      <c r="O31" s="6" t="e">
        <f>IF($B31&lt;37530,$B31*0.02,37530*0.02)</f>
        <v>#REF!</v>
      </c>
      <c r="P31" s="7" t="e">
        <f t="shared" ref="P31:P42" si="13">B31+N31+O31</f>
        <v>#REF!</v>
      </c>
    </row>
    <row r="32" spans="1:16" ht="22.2" hidden="1" customHeight="1" x14ac:dyDescent="0.3">
      <c r="A32" s="26" t="s">
        <v>1</v>
      </c>
      <c r="B32" s="30" t="e">
        <f>#REF!</f>
        <v>#REF!</v>
      </c>
      <c r="C32" s="2" t="e">
        <f t="shared" ref="C32:C42" si="14">IF($B32&lt;37530,$B32*0.14,37530*0.14)</f>
        <v>#REF!</v>
      </c>
      <c r="D32" s="2" t="e">
        <f t="shared" si="9"/>
        <v>#REF!</v>
      </c>
      <c r="E32" s="2" t="e">
        <f t="shared" si="10"/>
        <v>#REF!</v>
      </c>
      <c r="F32" s="2"/>
      <c r="G32" s="2"/>
      <c r="H32" s="2"/>
      <c r="I32" s="2" t="e">
        <f>IF(#REF!-#REF!&lt;0,0,#REF!-#REF!)</f>
        <v>#REF!</v>
      </c>
      <c r="J32" s="2" t="e">
        <f t="shared" ref="J32:J42" si="15">J31+E32</f>
        <v>#REF!</v>
      </c>
      <c r="K32" s="2" t="e">
        <f t="shared" si="11"/>
        <v>#REF!</v>
      </c>
      <c r="L32" s="4" t="e">
        <f t="shared" ref="L32:L42" si="16">K32*0.00759</f>
        <v>#REF!</v>
      </c>
      <c r="M32" s="3" t="e">
        <f t="shared" si="12"/>
        <v>#REF!</v>
      </c>
      <c r="N32" s="8" t="e">
        <f t="shared" ref="N32:N42" si="17">IF($B32&lt;37530,$B32*0.205,37530*0.205)</f>
        <v>#REF!</v>
      </c>
      <c r="O32" s="9" t="e">
        <f t="shared" ref="O32:O42" si="18">IF($B32&lt;37530,$B32*0.02,37530*0.02)</f>
        <v>#REF!</v>
      </c>
      <c r="P32" s="10" t="e">
        <f t="shared" si="13"/>
        <v>#REF!</v>
      </c>
    </row>
    <row r="33" spans="1:16" ht="22.2" hidden="1" customHeight="1" x14ac:dyDescent="0.3">
      <c r="A33" s="26" t="s">
        <v>2</v>
      </c>
      <c r="B33" s="30" t="e">
        <f>#REF!</f>
        <v>#REF!</v>
      </c>
      <c r="C33" s="2" t="e">
        <f t="shared" si="14"/>
        <v>#REF!</v>
      </c>
      <c r="D33" s="2" t="e">
        <f t="shared" si="9"/>
        <v>#REF!</v>
      </c>
      <c r="E33" s="2" t="e">
        <f t="shared" si="10"/>
        <v>#REF!</v>
      </c>
      <c r="F33" s="2"/>
      <c r="G33" s="2"/>
      <c r="H33" s="2"/>
      <c r="I33" s="2" t="e">
        <f>IF(#REF!-#REF!&lt;0,0,#REF!-#REF!)</f>
        <v>#REF!</v>
      </c>
      <c r="J33" s="2" t="e">
        <f t="shared" si="15"/>
        <v>#REF!</v>
      </c>
      <c r="K33" s="2" t="e">
        <f t="shared" si="11"/>
        <v>#REF!</v>
      </c>
      <c r="L33" s="4" t="e">
        <f t="shared" si="16"/>
        <v>#REF!</v>
      </c>
      <c r="M33" s="3" t="e">
        <f t="shared" si="12"/>
        <v>#REF!</v>
      </c>
      <c r="N33" s="8" t="e">
        <f t="shared" si="17"/>
        <v>#REF!</v>
      </c>
      <c r="O33" s="9" t="e">
        <f t="shared" si="18"/>
        <v>#REF!</v>
      </c>
      <c r="P33" s="10" t="e">
        <f t="shared" si="13"/>
        <v>#REF!</v>
      </c>
    </row>
    <row r="34" spans="1:16" ht="22.2" hidden="1" customHeight="1" x14ac:dyDescent="0.3">
      <c r="A34" s="26" t="s">
        <v>3</v>
      </c>
      <c r="B34" s="30" t="e">
        <f>#REF!</f>
        <v>#REF!</v>
      </c>
      <c r="C34" s="2" t="e">
        <f t="shared" si="14"/>
        <v>#REF!</v>
      </c>
      <c r="D34" s="2" t="e">
        <f t="shared" si="9"/>
        <v>#REF!</v>
      </c>
      <c r="E34" s="2" t="e">
        <f t="shared" si="10"/>
        <v>#REF!</v>
      </c>
      <c r="F34" s="2"/>
      <c r="G34" s="2"/>
      <c r="H34" s="2"/>
      <c r="I34" s="2" t="e">
        <f>IF(#REF!-#REF!&lt;0,0,#REF!-#REF!)</f>
        <v>#REF!</v>
      </c>
      <c r="J34" s="2" t="e">
        <f t="shared" si="15"/>
        <v>#REF!</v>
      </c>
      <c r="K34" s="2" t="e">
        <f t="shared" si="11"/>
        <v>#REF!</v>
      </c>
      <c r="L34" s="4" t="e">
        <f t="shared" si="16"/>
        <v>#REF!</v>
      </c>
      <c r="M34" s="3" t="e">
        <f t="shared" si="12"/>
        <v>#REF!</v>
      </c>
      <c r="N34" s="8" t="e">
        <f t="shared" si="17"/>
        <v>#REF!</v>
      </c>
      <c r="O34" s="9" t="e">
        <f t="shared" si="18"/>
        <v>#REF!</v>
      </c>
      <c r="P34" s="10" t="e">
        <f t="shared" si="13"/>
        <v>#REF!</v>
      </c>
    </row>
    <row r="35" spans="1:16" ht="22.2" hidden="1" customHeight="1" x14ac:dyDescent="0.3">
      <c r="A35" s="26" t="s">
        <v>4</v>
      </c>
      <c r="B35" s="30" t="e">
        <f>#REF!</f>
        <v>#REF!</v>
      </c>
      <c r="C35" s="2" t="e">
        <f t="shared" si="14"/>
        <v>#REF!</v>
      </c>
      <c r="D35" s="2" t="e">
        <f t="shared" si="9"/>
        <v>#REF!</v>
      </c>
      <c r="E35" s="2" t="e">
        <f t="shared" si="10"/>
        <v>#REF!</v>
      </c>
      <c r="F35" s="2"/>
      <c r="G35" s="2"/>
      <c r="H35" s="2"/>
      <c r="I35" s="2" t="e">
        <f>IF(#REF!-#REF!&lt;0,0,#REF!-#REF!)</f>
        <v>#REF!</v>
      </c>
      <c r="J35" s="2" t="e">
        <f t="shared" si="15"/>
        <v>#REF!</v>
      </c>
      <c r="K35" s="2" t="e">
        <f t="shared" si="11"/>
        <v>#REF!</v>
      </c>
      <c r="L35" s="4" t="e">
        <f t="shared" si="16"/>
        <v>#REF!</v>
      </c>
      <c r="M35" s="3" t="e">
        <f t="shared" si="12"/>
        <v>#REF!</v>
      </c>
      <c r="N35" s="8" t="e">
        <f t="shared" si="17"/>
        <v>#REF!</v>
      </c>
      <c r="O35" s="9" t="e">
        <f t="shared" si="18"/>
        <v>#REF!</v>
      </c>
      <c r="P35" s="10" t="e">
        <f t="shared" si="13"/>
        <v>#REF!</v>
      </c>
    </row>
    <row r="36" spans="1:16" ht="22.2" hidden="1" customHeight="1" x14ac:dyDescent="0.3">
      <c r="A36" s="26" t="s">
        <v>5</v>
      </c>
      <c r="B36" s="30" t="e">
        <f>#REF!</f>
        <v>#REF!</v>
      </c>
      <c r="C36" s="2" t="e">
        <f t="shared" si="14"/>
        <v>#REF!</v>
      </c>
      <c r="D36" s="2" t="e">
        <f t="shared" si="9"/>
        <v>#REF!</v>
      </c>
      <c r="E36" s="2" t="e">
        <f t="shared" si="10"/>
        <v>#REF!</v>
      </c>
      <c r="F36" s="2"/>
      <c r="G36" s="2"/>
      <c r="H36" s="2"/>
      <c r="I36" s="2" t="e">
        <f>IF(#REF!-#REF!&lt;0,0,#REF!-#REF!)</f>
        <v>#REF!</v>
      </c>
      <c r="J36" s="2" t="e">
        <f t="shared" si="15"/>
        <v>#REF!</v>
      </c>
      <c r="K36" s="2" t="e">
        <f t="shared" si="11"/>
        <v>#REF!</v>
      </c>
      <c r="L36" s="4" t="e">
        <f t="shared" si="16"/>
        <v>#REF!</v>
      </c>
      <c r="M36" s="3" t="e">
        <f t="shared" si="12"/>
        <v>#REF!</v>
      </c>
      <c r="N36" s="8" t="e">
        <f t="shared" si="17"/>
        <v>#REF!</v>
      </c>
      <c r="O36" s="9" t="e">
        <f t="shared" si="18"/>
        <v>#REF!</v>
      </c>
      <c r="P36" s="10" t="e">
        <f t="shared" si="13"/>
        <v>#REF!</v>
      </c>
    </row>
    <row r="37" spans="1:16" ht="22.2" hidden="1" customHeight="1" x14ac:dyDescent="0.3">
      <c r="A37" s="26" t="s">
        <v>6</v>
      </c>
      <c r="B37" s="30" t="e">
        <f>#REF!</f>
        <v>#REF!</v>
      </c>
      <c r="C37" s="2" t="e">
        <f t="shared" si="14"/>
        <v>#REF!</v>
      </c>
      <c r="D37" s="2" t="e">
        <f t="shared" si="9"/>
        <v>#REF!</v>
      </c>
      <c r="E37" s="2" t="e">
        <f t="shared" si="10"/>
        <v>#REF!</v>
      </c>
      <c r="F37" s="2"/>
      <c r="G37" s="2"/>
      <c r="H37" s="2"/>
      <c r="I37" s="2" t="e">
        <f>IF(#REF!-#REF!&lt;0,0,#REF!-#REF!)</f>
        <v>#REF!</v>
      </c>
      <c r="J37" s="2" t="e">
        <f t="shared" si="15"/>
        <v>#REF!</v>
      </c>
      <c r="K37" s="2" t="e">
        <f t="shared" ref="K37:K42" si="19">IF(B37-6471&lt;0,0,B37-6471)</f>
        <v>#REF!</v>
      </c>
      <c r="L37" s="4" t="e">
        <f t="shared" si="16"/>
        <v>#REF!</v>
      </c>
      <c r="M37" s="3" t="e">
        <f t="shared" si="12"/>
        <v>#REF!</v>
      </c>
      <c r="N37" s="8" t="e">
        <f t="shared" si="17"/>
        <v>#REF!</v>
      </c>
      <c r="O37" s="9" t="e">
        <f t="shared" si="18"/>
        <v>#REF!</v>
      </c>
      <c r="P37" s="10" t="e">
        <f t="shared" si="13"/>
        <v>#REF!</v>
      </c>
    </row>
    <row r="38" spans="1:16" ht="22.2" hidden="1" customHeight="1" x14ac:dyDescent="0.3">
      <c r="A38" s="26" t="s">
        <v>7</v>
      </c>
      <c r="B38" s="30" t="e">
        <f>#REF!</f>
        <v>#REF!</v>
      </c>
      <c r="C38" s="2" t="e">
        <f t="shared" si="14"/>
        <v>#REF!</v>
      </c>
      <c r="D38" s="2" t="e">
        <f t="shared" si="9"/>
        <v>#REF!</v>
      </c>
      <c r="E38" s="2" t="e">
        <f t="shared" si="10"/>
        <v>#REF!</v>
      </c>
      <c r="F38" s="2"/>
      <c r="G38" s="2"/>
      <c r="H38" s="2"/>
      <c r="I38" s="2" t="e">
        <f>IF(#REF!-#REF!&lt;0,0,#REF!-#REF!)</f>
        <v>#REF!</v>
      </c>
      <c r="J38" s="2" t="e">
        <f t="shared" si="15"/>
        <v>#REF!</v>
      </c>
      <c r="K38" s="2" t="e">
        <f t="shared" si="19"/>
        <v>#REF!</v>
      </c>
      <c r="L38" s="4" t="e">
        <f t="shared" si="16"/>
        <v>#REF!</v>
      </c>
      <c r="M38" s="3" t="e">
        <f t="shared" si="12"/>
        <v>#REF!</v>
      </c>
      <c r="N38" s="8" t="e">
        <f t="shared" si="17"/>
        <v>#REF!</v>
      </c>
      <c r="O38" s="9" t="e">
        <f t="shared" si="18"/>
        <v>#REF!</v>
      </c>
      <c r="P38" s="10" t="e">
        <f t="shared" si="13"/>
        <v>#REF!</v>
      </c>
    </row>
    <row r="39" spans="1:16" ht="22.2" hidden="1" customHeight="1" x14ac:dyDescent="0.3">
      <c r="A39" s="26" t="s">
        <v>8</v>
      </c>
      <c r="B39" s="30" t="e">
        <f>#REF!</f>
        <v>#REF!</v>
      </c>
      <c r="C39" s="2" t="e">
        <f t="shared" si="14"/>
        <v>#REF!</v>
      </c>
      <c r="D39" s="2" t="e">
        <f t="shared" si="9"/>
        <v>#REF!</v>
      </c>
      <c r="E39" s="2" t="e">
        <f t="shared" si="10"/>
        <v>#REF!</v>
      </c>
      <c r="F39" s="2"/>
      <c r="G39" s="2"/>
      <c r="H39" s="2"/>
      <c r="I39" s="2" t="e">
        <f>IF(#REF!-#REF!&lt;0,0,#REF!-#REF!)</f>
        <v>#REF!</v>
      </c>
      <c r="J39" s="2" t="e">
        <f t="shared" si="15"/>
        <v>#REF!</v>
      </c>
      <c r="K39" s="2" t="e">
        <f t="shared" si="19"/>
        <v>#REF!</v>
      </c>
      <c r="L39" s="4" t="e">
        <f t="shared" si="16"/>
        <v>#REF!</v>
      </c>
      <c r="M39" s="3" t="e">
        <f t="shared" si="12"/>
        <v>#REF!</v>
      </c>
      <c r="N39" s="8" t="e">
        <f t="shared" si="17"/>
        <v>#REF!</v>
      </c>
      <c r="O39" s="9" t="e">
        <f t="shared" si="18"/>
        <v>#REF!</v>
      </c>
      <c r="P39" s="10" t="e">
        <f t="shared" si="13"/>
        <v>#REF!</v>
      </c>
    </row>
    <row r="40" spans="1:16" ht="22.2" hidden="1" customHeight="1" x14ac:dyDescent="0.3">
      <c r="A40" s="26" t="s">
        <v>9</v>
      </c>
      <c r="B40" s="30" t="e">
        <f>#REF!</f>
        <v>#REF!</v>
      </c>
      <c r="C40" s="2" t="e">
        <f t="shared" si="14"/>
        <v>#REF!</v>
      </c>
      <c r="D40" s="2" t="e">
        <f t="shared" si="9"/>
        <v>#REF!</v>
      </c>
      <c r="E40" s="2" t="e">
        <f t="shared" si="10"/>
        <v>#REF!</v>
      </c>
      <c r="F40" s="2"/>
      <c r="G40" s="2"/>
      <c r="H40" s="2"/>
      <c r="I40" s="2" t="e">
        <f>IF(#REF!-#REF!&lt;0,0,#REF!-#REF!)</f>
        <v>#REF!</v>
      </c>
      <c r="J40" s="2" t="e">
        <f t="shared" si="15"/>
        <v>#REF!</v>
      </c>
      <c r="K40" s="2" t="e">
        <f t="shared" si="19"/>
        <v>#REF!</v>
      </c>
      <c r="L40" s="4" t="e">
        <f t="shared" si="16"/>
        <v>#REF!</v>
      </c>
      <c r="M40" s="3" t="e">
        <f t="shared" si="12"/>
        <v>#REF!</v>
      </c>
      <c r="N40" s="8" t="e">
        <f t="shared" si="17"/>
        <v>#REF!</v>
      </c>
      <c r="O40" s="9" t="e">
        <f t="shared" si="18"/>
        <v>#REF!</v>
      </c>
      <c r="P40" s="10" t="e">
        <f t="shared" si="13"/>
        <v>#REF!</v>
      </c>
    </row>
    <row r="41" spans="1:16" ht="22.2" hidden="1" customHeight="1" x14ac:dyDescent="0.3">
      <c r="A41" s="26" t="s">
        <v>10</v>
      </c>
      <c r="B41" s="30" t="e">
        <f>#REF!</f>
        <v>#REF!</v>
      </c>
      <c r="C41" s="2" t="e">
        <f t="shared" si="14"/>
        <v>#REF!</v>
      </c>
      <c r="D41" s="2" t="e">
        <f t="shared" si="9"/>
        <v>#REF!</v>
      </c>
      <c r="E41" s="2" t="e">
        <f t="shared" si="10"/>
        <v>#REF!</v>
      </c>
      <c r="F41" s="2"/>
      <c r="G41" s="2"/>
      <c r="H41" s="2"/>
      <c r="I41" s="2" t="e">
        <f>IF(#REF!-#REF!&lt;0,0,#REF!-#REF!)</f>
        <v>#REF!</v>
      </c>
      <c r="J41" s="2" t="e">
        <f t="shared" si="15"/>
        <v>#REF!</v>
      </c>
      <c r="K41" s="2" t="e">
        <f t="shared" si="19"/>
        <v>#REF!</v>
      </c>
      <c r="L41" s="4" t="e">
        <f t="shared" si="16"/>
        <v>#REF!</v>
      </c>
      <c r="M41" s="3" t="e">
        <f t="shared" si="12"/>
        <v>#REF!</v>
      </c>
      <c r="N41" s="8" t="e">
        <f t="shared" si="17"/>
        <v>#REF!</v>
      </c>
      <c r="O41" s="9" t="e">
        <f t="shared" si="18"/>
        <v>#REF!</v>
      </c>
      <c r="P41" s="10" t="e">
        <f t="shared" si="13"/>
        <v>#REF!</v>
      </c>
    </row>
    <row r="42" spans="1:16" ht="22.2" hidden="1" customHeight="1" x14ac:dyDescent="0.3">
      <c r="A42" s="28" t="s">
        <v>11</v>
      </c>
      <c r="B42" s="30" t="e">
        <f>#REF!</f>
        <v>#REF!</v>
      </c>
      <c r="C42" s="11" t="e">
        <f t="shared" si="14"/>
        <v>#REF!</v>
      </c>
      <c r="D42" s="11" t="e">
        <f t="shared" si="9"/>
        <v>#REF!</v>
      </c>
      <c r="E42" s="11" t="e">
        <f t="shared" si="10"/>
        <v>#REF!</v>
      </c>
      <c r="F42" s="31"/>
      <c r="G42" s="31"/>
      <c r="H42" s="31"/>
      <c r="I42" s="2" t="e">
        <f>IF(#REF!-#REF!&lt;0,0,#REF!-#REF!)</f>
        <v>#REF!</v>
      </c>
      <c r="J42" s="11" t="e">
        <f t="shared" si="15"/>
        <v>#REF!</v>
      </c>
      <c r="K42" s="2" t="e">
        <f t="shared" si="19"/>
        <v>#REF!</v>
      </c>
      <c r="L42" s="12" t="e">
        <f t="shared" si="16"/>
        <v>#REF!</v>
      </c>
      <c r="M42" s="3" t="e">
        <f t="shared" si="12"/>
        <v>#REF!</v>
      </c>
      <c r="N42" s="13" t="e">
        <f t="shared" si="17"/>
        <v>#REF!</v>
      </c>
      <c r="O42" s="14" t="e">
        <f t="shared" si="18"/>
        <v>#REF!</v>
      </c>
      <c r="P42" s="15" t="e">
        <f t="shared" si="13"/>
        <v>#REF!</v>
      </c>
    </row>
    <row r="43" spans="1:16" ht="34.65" hidden="1" customHeight="1" x14ac:dyDescent="0.3">
      <c r="A43" s="32" t="s">
        <v>25</v>
      </c>
      <c r="B43" s="29" t="e">
        <f t="shared" ref="B43:D43" si="20">SUM(B31:B42)</f>
        <v>#REF!</v>
      </c>
      <c r="C43" s="29" t="e">
        <f t="shared" si="20"/>
        <v>#REF!</v>
      </c>
      <c r="D43" s="29" t="e">
        <f t="shared" si="20"/>
        <v>#REF!</v>
      </c>
      <c r="E43" s="29"/>
      <c r="F43" s="29"/>
      <c r="G43" s="29"/>
      <c r="H43" s="29"/>
      <c r="I43" s="29" t="e">
        <f t="shared" ref="I43" si="21">SUM(I31:I42)</f>
        <v>#REF!</v>
      </c>
      <c r="J43" s="29"/>
      <c r="K43" s="29"/>
      <c r="L43" s="29" t="e">
        <f t="shared" ref="L43" si="22">SUM(L31:L42)</f>
        <v>#REF!</v>
      </c>
      <c r="M43" s="29" t="e">
        <f>SUM(M31:M42)</f>
        <v>#REF!</v>
      </c>
      <c r="N43" s="29" t="e">
        <f t="shared" ref="N43:P43" si="23">SUM(N31:N42)</f>
        <v>#REF!</v>
      </c>
      <c r="O43" s="29" t="e">
        <f t="shared" si="23"/>
        <v>#REF!</v>
      </c>
      <c r="P43" s="29" t="e">
        <f t="shared" si="23"/>
        <v>#REF!</v>
      </c>
    </row>
  </sheetData>
  <mergeCells count="1">
    <mergeCell ref="A3:J3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A22F-71C0-4833-8AD9-97622F4D7B07}">
  <sheetPr>
    <tabColor theme="1"/>
  </sheetPr>
  <dimension ref="B2:J22"/>
  <sheetViews>
    <sheetView workbookViewId="0">
      <selection activeCell="B23" sqref="B23"/>
    </sheetView>
  </sheetViews>
  <sheetFormatPr defaultRowHeight="14.4" x14ac:dyDescent="0.3"/>
  <cols>
    <col min="2" max="2" width="41.5546875" bestFit="1" customWidth="1"/>
    <col min="4" max="4" width="22.6640625" style="51" bestFit="1" customWidth="1"/>
    <col min="5" max="5" width="22.44140625" bestFit="1" customWidth="1"/>
  </cols>
  <sheetData>
    <row r="2" spans="2:10" x14ac:dyDescent="0.3">
      <c r="B2" s="49" t="s">
        <v>29</v>
      </c>
      <c r="D2" s="50">
        <v>150018.75</v>
      </c>
    </row>
    <row r="3" spans="2:10" x14ac:dyDescent="0.3">
      <c r="D3" s="54" t="s">
        <v>34</v>
      </c>
      <c r="E3" s="54" t="s">
        <v>35</v>
      </c>
    </row>
    <row r="4" spans="2:10" x14ac:dyDescent="0.3">
      <c r="B4" s="49" t="s">
        <v>30</v>
      </c>
      <c r="D4" s="50">
        <v>20002.5</v>
      </c>
      <c r="E4" s="50">
        <v>17002.125</v>
      </c>
    </row>
    <row r="5" spans="2:10" x14ac:dyDescent="0.3">
      <c r="F5" s="56" t="s">
        <v>31</v>
      </c>
      <c r="G5" s="56"/>
      <c r="H5" s="56"/>
      <c r="I5" s="56"/>
      <c r="J5" s="56"/>
    </row>
    <row r="6" spans="2:10" x14ac:dyDescent="0.3">
      <c r="B6" s="49" t="s">
        <v>32</v>
      </c>
      <c r="C6" s="49" t="s">
        <v>0</v>
      </c>
      <c r="D6" s="50">
        <v>2550.3187499999999</v>
      </c>
      <c r="F6" s="56"/>
      <c r="G6" s="56"/>
      <c r="H6" s="56"/>
      <c r="I6" s="56"/>
      <c r="J6" s="56"/>
    </row>
    <row r="7" spans="2:10" x14ac:dyDescent="0.3">
      <c r="C7" s="49" t="s">
        <v>1</v>
      </c>
      <c r="D7" s="50">
        <v>2550.3187499999999</v>
      </c>
      <c r="F7" s="56"/>
      <c r="G7" s="56"/>
      <c r="H7" s="56"/>
      <c r="I7" s="56"/>
      <c r="J7" s="56"/>
    </row>
    <row r="8" spans="2:10" x14ac:dyDescent="0.3">
      <c r="C8" s="49" t="s">
        <v>2</v>
      </c>
      <c r="D8" s="50">
        <v>2550.3187499999995</v>
      </c>
    </row>
    <row r="9" spans="2:10" x14ac:dyDescent="0.3">
      <c r="C9" s="49" t="s">
        <v>3</v>
      </c>
      <c r="D9" s="50">
        <v>2550.3187500000004</v>
      </c>
    </row>
    <row r="10" spans="2:10" x14ac:dyDescent="0.3">
      <c r="C10" s="49" t="s">
        <v>4</v>
      </c>
      <c r="D10" s="50">
        <v>2550.3187500000004</v>
      </c>
    </row>
    <row r="11" spans="2:10" x14ac:dyDescent="0.3">
      <c r="C11" s="49" t="s">
        <v>5</v>
      </c>
      <c r="D11" s="50">
        <v>2550.3187499999985</v>
      </c>
    </row>
    <row r="12" spans="2:10" x14ac:dyDescent="0.3">
      <c r="C12" s="49" t="s">
        <v>6</v>
      </c>
      <c r="D12" s="50">
        <v>3001.0625000000036</v>
      </c>
    </row>
    <row r="13" spans="2:10" x14ac:dyDescent="0.3">
      <c r="C13" s="49" t="s">
        <v>7</v>
      </c>
      <c r="D13" s="50">
        <v>3400.4249999999956</v>
      </c>
    </row>
    <row r="14" spans="2:10" x14ac:dyDescent="0.3">
      <c r="C14" s="49" t="s">
        <v>8</v>
      </c>
      <c r="D14" s="50">
        <v>3400.4249999999993</v>
      </c>
    </row>
    <row r="15" spans="2:10" x14ac:dyDescent="0.3">
      <c r="C15" s="49" t="s">
        <v>9</v>
      </c>
      <c r="D15" s="50">
        <v>3400.4250000000029</v>
      </c>
    </row>
    <row r="16" spans="2:10" x14ac:dyDescent="0.3">
      <c r="C16" s="49" t="s">
        <v>10</v>
      </c>
      <c r="D16" s="50">
        <v>3400.4249999999993</v>
      </c>
    </row>
    <row r="17" spans="2:4" x14ac:dyDescent="0.3">
      <c r="C17" s="49" t="s">
        <v>11</v>
      </c>
      <c r="D17" s="50">
        <v>3400.4249999999993</v>
      </c>
    </row>
    <row r="19" spans="2:4" x14ac:dyDescent="0.3">
      <c r="B19" s="49" t="s">
        <v>33</v>
      </c>
      <c r="C19" s="52">
        <v>0.15</v>
      </c>
      <c r="D19" s="53">
        <v>0</v>
      </c>
    </row>
    <row r="20" spans="2:4" x14ac:dyDescent="0.3">
      <c r="C20" s="52">
        <v>0.2</v>
      </c>
      <c r="D20" s="53">
        <v>110000</v>
      </c>
    </row>
    <row r="21" spans="2:4" x14ac:dyDescent="0.3">
      <c r="C21" s="52">
        <v>0.27</v>
      </c>
      <c r="D21" s="53">
        <v>230000</v>
      </c>
    </row>
    <row r="22" spans="2:4" x14ac:dyDescent="0.3">
      <c r="C22" s="52">
        <v>0.35</v>
      </c>
      <c r="D22" s="53">
        <v>870000</v>
      </c>
    </row>
  </sheetData>
  <mergeCells count="1">
    <mergeCell ref="F5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BRÜTTEN NETE</vt:lpstr>
      <vt:lpstr>PARAMETRELER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2024-01-01T20:13:55Z</dcterms:modified>
</cp:coreProperties>
</file>